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drawings/drawing9.xml" ContentType="application/vnd.openxmlformats-officedocument.drawing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activeTab="14"/>
  </bookViews>
  <sheets>
    <sheet name="1" sheetId="462" r:id="rId1"/>
    <sheet name="2" sheetId="461" r:id="rId2"/>
    <sheet name="3" sheetId="460" r:id="rId3"/>
    <sheet name="4" sheetId="459" r:id="rId4"/>
    <sheet name="5" sheetId="458" r:id="rId5"/>
    <sheet name="6" sheetId="457" r:id="rId6"/>
    <sheet name="7" sheetId="456" r:id="rId7"/>
    <sheet name="8" sheetId="455" r:id="rId8"/>
    <sheet name="9" sheetId="454" r:id="rId9"/>
    <sheet name="10" sheetId="468" r:id="rId10"/>
    <sheet name="11" sheetId="452" r:id="rId11"/>
    <sheet name="12" sheetId="434" r:id="rId12"/>
    <sheet name="13" sheetId="433" r:id="rId13"/>
    <sheet name="14" sheetId="435" r:id="rId14"/>
    <sheet name="15" sheetId="437" r:id="rId15"/>
    <sheet name="16" sheetId="438" r:id="rId16"/>
    <sheet name="17" sheetId="439" r:id="rId17"/>
    <sheet name="18" sheetId="431" r:id="rId18"/>
    <sheet name="19" sheetId="441" r:id="rId19"/>
    <sheet name="20" sheetId="442" r:id="rId20"/>
    <sheet name="21" sheetId="444" r:id="rId21"/>
    <sheet name="22" sheetId="443" r:id="rId22"/>
    <sheet name="23" sheetId="445" r:id="rId23"/>
    <sheet name="24" sheetId="451" r:id="rId24"/>
    <sheet name="25" sheetId="450" r:id="rId25"/>
    <sheet name="26" sheetId="463" r:id="rId26"/>
    <sheet name="27" sheetId="465" r:id="rId27"/>
    <sheet name="28" sheetId="467" r:id="rId28"/>
    <sheet name="29" sheetId="464" r:id="rId29"/>
    <sheet name="30" sheetId="469" r:id="rId30"/>
    <sheet name="汇总" sheetId="426" r:id="rId31"/>
    <sheet name="Sheet33" sheetId="33" r:id="rId32"/>
    <sheet name="Sheet30" sheetId="34" r:id="rId33"/>
    <sheet name="Sheet1" sheetId="35" r:id="rId34"/>
  </sheets>
  <calcPr calcId="124519"/>
</workbook>
</file>

<file path=xl/calcChain.xml><?xml version="1.0" encoding="utf-8"?>
<calcChain xmlns="http://schemas.openxmlformats.org/spreadsheetml/2006/main">
  <c r="G58" i="438"/>
  <c r="D450"/>
  <c r="D452" s="1"/>
  <c r="D443"/>
  <c r="U203"/>
  <c r="G207"/>
  <c r="G204"/>
  <c r="E204"/>
  <c r="I207"/>
  <c r="I58"/>
  <c r="H58"/>
  <c r="U412" i="437"/>
  <c r="Y412" s="1"/>
  <c r="Y413"/>
  <c r="Y414"/>
  <c r="Y415"/>
  <c r="Y416"/>
  <c r="Y417"/>
  <c r="Y418"/>
  <c r="W413"/>
  <c r="W414"/>
  <c r="W415"/>
  <c r="W416"/>
  <c r="W417"/>
  <c r="W418"/>
  <c r="W412"/>
  <c r="D450"/>
  <c r="D443"/>
  <c r="G413"/>
  <c r="E413"/>
  <c r="G207"/>
  <c r="U203" l="1"/>
  <c r="G416" l="1"/>
  <c r="I416"/>
  <c r="I207"/>
  <c r="G264"/>
  <c r="G378"/>
  <c r="I267"/>
  <c r="I264"/>
  <c r="H264"/>
  <c r="I378"/>
  <c r="H378"/>
  <c r="I55" l="1"/>
  <c r="G63"/>
  <c r="H63"/>
  <c r="I63"/>
  <c r="I169"/>
  <c r="L199" i="435"/>
  <c r="L408"/>
  <c r="G42" l="1"/>
  <c r="V407" a="1"/>
  <c r="V407" s="1"/>
  <c r="V406" a="1"/>
  <c r="V406" s="1"/>
  <c r="V405" a="1"/>
  <c r="V405" s="1"/>
  <c r="V404" a="1"/>
  <c r="V404" s="1"/>
  <c r="V403" a="1"/>
  <c r="V403" s="1"/>
  <c r="V402" a="1"/>
  <c r="V402" s="1"/>
  <c r="V401" a="1"/>
  <c r="V401" s="1"/>
  <c r="V400" a="1"/>
  <c r="V400" s="1"/>
  <c r="V399" a="1"/>
  <c r="V399" s="1"/>
  <c r="V398" a="1"/>
  <c r="V398" s="1"/>
  <c r="V397" a="1"/>
  <c r="V397" s="1"/>
  <c r="V396" a="1"/>
  <c r="V396" s="1"/>
  <c r="V395" a="1"/>
  <c r="V395" s="1"/>
  <c r="V394" a="1"/>
  <c r="V394" s="1"/>
  <c r="V393" a="1"/>
  <c r="V393" s="1"/>
  <c r="V392" a="1"/>
  <c r="V392" s="1"/>
  <c r="V391" a="1"/>
  <c r="V391" s="1"/>
  <c r="V390" a="1"/>
  <c r="V390" s="1"/>
  <c r="V389" a="1"/>
  <c r="V389" s="1"/>
  <c r="V388" a="1"/>
  <c r="V388" s="1"/>
  <c r="V387" a="1"/>
  <c r="V387" s="1"/>
  <c r="V386" a="1"/>
  <c r="V386" s="1"/>
  <c r="V385" a="1"/>
  <c r="V385" s="1"/>
  <c r="V384" a="1"/>
  <c r="V384" s="1"/>
  <c r="V383" a="1"/>
  <c r="V383" s="1"/>
  <c r="V382" a="1"/>
  <c r="V382" s="1"/>
  <c r="V381" a="1"/>
  <c r="V381" s="1"/>
  <c r="V380" a="1"/>
  <c r="V380" s="1"/>
  <c r="V379" a="1"/>
  <c r="V379" s="1"/>
  <c r="V378" a="1"/>
  <c r="V378" s="1"/>
  <c r="V377" a="1"/>
  <c r="V377" s="1"/>
  <c r="V376" a="1"/>
  <c r="V376" s="1"/>
  <c r="V375" a="1"/>
  <c r="V375" s="1"/>
  <c r="V374" a="1"/>
  <c r="V374" s="1"/>
  <c r="V373" a="1"/>
  <c r="V373" s="1"/>
  <c r="V372" a="1"/>
  <c r="V372" s="1"/>
  <c r="V371" a="1"/>
  <c r="V371" s="1"/>
  <c r="V370" a="1"/>
  <c r="V370" s="1"/>
  <c r="V369" a="1"/>
  <c r="V369" s="1"/>
  <c r="V368" a="1"/>
  <c r="V368" s="1"/>
  <c r="V367" a="1"/>
  <c r="V367" s="1"/>
  <c r="V366" a="1"/>
  <c r="V366" s="1"/>
  <c r="V365" a="1"/>
  <c r="V365" s="1"/>
  <c r="V364" a="1"/>
  <c r="V364" s="1"/>
  <c r="V363" a="1"/>
  <c r="V363" s="1"/>
  <c r="V362" a="1"/>
  <c r="V362" s="1"/>
  <c r="V361" a="1"/>
  <c r="V361" s="1"/>
  <c r="V360" a="1"/>
  <c r="V360" s="1"/>
  <c r="V359" a="1"/>
  <c r="V359" s="1"/>
  <c r="V358" a="1"/>
  <c r="V358" s="1"/>
  <c r="V357" a="1"/>
  <c r="V357" s="1"/>
  <c r="V356" a="1"/>
  <c r="V356" s="1"/>
  <c r="V355" a="1"/>
  <c r="V355" s="1"/>
  <c r="V354" a="1"/>
  <c r="V354" s="1"/>
  <c r="V353" a="1"/>
  <c r="V353" s="1"/>
  <c r="V352" a="1"/>
  <c r="V352" s="1"/>
  <c r="V351" a="1"/>
  <c r="V351" s="1"/>
  <c r="V350" a="1"/>
  <c r="V350" s="1"/>
  <c r="V349" a="1"/>
  <c r="V349" s="1"/>
  <c r="V348" a="1"/>
  <c r="V348" s="1"/>
  <c r="V347" a="1"/>
  <c r="V347" s="1"/>
  <c r="V346" a="1"/>
  <c r="V346" s="1"/>
  <c r="V345" a="1"/>
  <c r="V345" s="1"/>
  <c r="V344" a="1"/>
  <c r="V344" s="1"/>
  <c r="V343" a="1"/>
  <c r="V343" s="1"/>
  <c r="V342" a="1"/>
  <c r="V342" s="1"/>
  <c r="V341" a="1"/>
  <c r="V341" s="1"/>
  <c r="V340" a="1"/>
  <c r="V340" s="1"/>
  <c r="V339" a="1"/>
  <c r="V339" s="1"/>
  <c r="V338" a="1"/>
  <c r="V338" s="1"/>
  <c r="V337" a="1"/>
  <c r="V337" s="1"/>
  <c r="V336" a="1"/>
  <c r="V336" s="1"/>
  <c r="V335" a="1"/>
  <c r="V335" s="1"/>
  <c r="V334" a="1"/>
  <c r="V334" s="1"/>
  <c r="V333" a="1"/>
  <c r="V333" s="1"/>
  <c r="V332" a="1"/>
  <c r="V332" s="1"/>
  <c r="V331" a="1"/>
  <c r="V331" s="1"/>
  <c r="V330" a="1"/>
  <c r="V330" s="1"/>
  <c r="V329" a="1"/>
  <c r="V329" s="1"/>
  <c r="V328" a="1"/>
  <c r="V328" s="1"/>
  <c r="V327" a="1"/>
  <c r="V327" s="1"/>
  <c r="V326" a="1"/>
  <c r="V326" s="1"/>
  <c r="V325" a="1"/>
  <c r="V325" s="1"/>
  <c r="V324" a="1"/>
  <c r="V324" s="1"/>
  <c r="V323" a="1"/>
  <c r="V323" s="1"/>
  <c r="V322" a="1"/>
  <c r="V322" s="1"/>
  <c r="V321" a="1"/>
  <c r="V321" s="1"/>
  <c r="V320" a="1"/>
  <c r="V320" s="1"/>
  <c r="V319" a="1"/>
  <c r="V319" s="1"/>
  <c r="V318" a="1"/>
  <c r="V318" s="1"/>
  <c r="V317" a="1"/>
  <c r="V317" s="1"/>
  <c r="V316" a="1"/>
  <c r="V316" s="1"/>
  <c r="V315" a="1"/>
  <c r="V315" s="1"/>
  <c r="V314" a="1"/>
  <c r="V314" s="1"/>
  <c r="V313" a="1"/>
  <c r="V313" s="1"/>
  <c r="V312" a="1"/>
  <c r="V312" s="1"/>
  <c r="V311" a="1"/>
  <c r="V311" s="1"/>
  <c r="V310" a="1"/>
  <c r="V310" s="1"/>
  <c r="V309" a="1"/>
  <c r="V309" s="1"/>
  <c r="V308" a="1"/>
  <c r="V308" s="1"/>
  <c r="V307" a="1"/>
  <c r="V307" s="1"/>
  <c r="V306" a="1"/>
  <c r="V306" s="1"/>
  <c r="V305" a="1"/>
  <c r="V305" s="1"/>
  <c r="V304" a="1"/>
  <c r="V304" s="1"/>
  <c r="V303" a="1"/>
  <c r="V303" s="1"/>
  <c r="V302" a="1"/>
  <c r="V302" s="1"/>
  <c r="V301" a="1"/>
  <c r="V301" s="1"/>
  <c r="V300" a="1"/>
  <c r="V300" s="1"/>
  <c r="V299" a="1"/>
  <c r="V299" s="1"/>
  <c r="V298" a="1"/>
  <c r="V298" s="1"/>
  <c r="V297" a="1"/>
  <c r="V297" s="1"/>
  <c r="V296" a="1"/>
  <c r="V296" s="1"/>
  <c r="V295" a="1"/>
  <c r="V295" s="1"/>
  <c r="V294" a="1"/>
  <c r="V294" s="1"/>
  <c r="V293" a="1"/>
  <c r="V293" s="1"/>
  <c r="V292" a="1"/>
  <c r="V292" s="1"/>
  <c r="V291" a="1"/>
  <c r="V291" s="1"/>
  <c r="V290" a="1"/>
  <c r="V290" s="1"/>
  <c r="V289" a="1"/>
  <c r="V289" s="1"/>
  <c r="V288" a="1"/>
  <c r="V288" s="1"/>
  <c r="V287" a="1"/>
  <c r="V287" s="1"/>
  <c r="V286" a="1"/>
  <c r="V286" s="1"/>
  <c r="V285" a="1"/>
  <c r="V285" s="1"/>
  <c r="V284" a="1"/>
  <c r="V284" s="1"/>
  <c r="V283" a="1"/>
  <c r="V283" s="1"/>
  <c r="V282" a="1"/>
  <c r="V282" s="1"/>
  <c r="V281" a="1"/>
  <c r="V281" s="1"/>
  <c r="V280" a="1"/>
  <c r="V280" s="1"/>
  <c r="V279" a="1"/>
  <c r="V279" s="1"/>
  <c r="V278" a="1"/>
  <c r="V278" s="1"/>
  <c r="V277" a="1"/>
  <c r="V277" s="1"/>
  <c r="V276" a="1"/>
  <c r="V276" s="1"/>
  <c r="V275" a="1"/>
  <c r="V275" s="1"/>
  <c r="V274" a="1"/>
  <c r="V274" s="1"/>
  <c r="V273" a="1"/>
  <c r="V273" s="1"/>
  <c r="V271" a="1"/>
  <c r="V271" s="1"/>
  <c r="V270" a="1"/>
  <c r="V270" s="1"/>
  <c r="U412"/>
  <c r="G416"/>
  <c r="I416"/>
  <c r="G270"/>
  <c r="I272"/>
  <c r="I270"/>
  <c r="H270"/>
  <c r="I251"/>
  <c r="G251"/>
  <c r="H251"/>
  <c r="G322"/>
  <c r="I322"/>
  <c r="H322"/>
  <c r="U203" l="1"/>
  <c r="D450"/>
  <c r="D443"/>
  <c r="G207"/>
  <c r="I207"/>
  <c r="K204" a="1"/>
  <c r="K204" s="1"/>
  <c r="Y418"/>
  <c r="Y417"/>
  <c r="Y416"/>
  <c r="Y415"/>
  <c r="Y414"/>
  <c r="Y413"/>
  <c r="Y412"/>
  <c r="W418"/>
  <c r="W417"/>
  <c r="W416"/>
  <c r="W415"/>
  <c r="W414"/>
  <c r="W413"/>
  <c r="W412"/>
  <c r="V61" a="1"/>
  <c r="V61" s="1"/>
  <c r="V60" a="1"/>
  <c r="V60" s="1"/>
  <c r="V59" a="1"/>
  <c r="V59" s="1"/>
  <c r="V58" a="1"/>
  <c r="V58" s="1"/>
  <c r="V57" a="1"/>
  <c r="V57" s="1"/>
  <c r="V56" a="1"/>
  <c r="V56" s="1"/>
  <c r="V55" a="1"/>
  <c r="V55" s="1"/>
  <c r="V54" a="1"/>
  <c r="V54" s="1"/>
  <c r="V53" a="1"/>
  <c r="V53" s="1"/>
  <c r="V52" a="1"/>
  <c r="V52" s="1"/>
  <c r="V51" a="1"/>
  <c r="V51" s="1"/>
  <c r="V50" a="1"/>
  <c r="V50" s="1"/>
  <c r="V49" a="1"/>
  <c r="V49" s="1"/>
  <c r="V48" a="1"/>
  <c r="V48" s="1"/>
  <c r="G49"/>
  <c r="I113"/>
  <c r="I42"/>
  <c r="I61"/>
  <c r="I49"/>
  <c r="H49"/>
  <c r="G37"/>
  <c r="I37"/>
  <c r="H37"/>
  <c r="Y412" i="433"/>
  <c r="Y413"/>
  <c r="Y414"/>
  <c r="Y415"/>
  <c r="Y416"/>
  <c r="Y417"/>
  <c r="Y418"/>
  <c r="W413"/>
  <c r="W414"/>
  <c r="W415"/>
  <c r="W416"/>
  <c r="W417"/>
  <c r="W418"/>
  <c r="W412"/>
  <c r="I447"/>
  <c r="D450"/>
  <c r="D443"/>
  <c r="G416"/>
  <c r="I416"/>
  <c r="I415"/>
  <c r="U418"/>
  <c r="U412"/>
  <c r="V294" a="1"/>
  <c r="V294" s="1"/>
  <c r="V293" a="1"/>
  <c r="V293" s="1"/>
  <c r="V292" a="1"/>
  <c r="V292" s="1"/>
  <c r="V291" a="1"/>
  <c r="V291" s="1"/>
  <c r="V290" a="1"/>
  <c r="V290" s="1"/>
  <c r="V289" a="1"/>
  <c r="V289" s="1"/>
  <c r="V288" a="1"/>
  <c r="V288" s="1"/>
  <c r="V287" a="1"/>
  <c r="V287" s="1"/>
  <c r="V286" a="1"/>
  <c r="V286" s="1"/>
  <c r="V285" a="1"/>
  <c r="V285" s="1"/>
  <c r="V284" a="1"/>
  <c r="V284" s="1"/>
  <c r="V283" a="1"/>
  <c r="V283" s="1"/>
  <c r="V282" a="1"/>
  <c r="V282" s="1"/>
  <c r="V281" a="1"/>
  <c r="V281" s="1"/>
  <c r="V280" a="1"/>
  <c r="V280" s="1"/>
  <c r="V279" a="1"/>
  <c r="V279" s="1"/>
  <c r="V278" a="1"/>
  <c r="V278" s="1"/>
  <c r="V277" a="1"/>
  <c r="V277" s="1"/>
  <c r="V276" a="1"/>
  <c r="V276" s="1"/>
  <c r="V275" a="1"/>
  <c r="V275" s="1"/>
  <c r="V274" a="1"/>
  <c r="V274" s="1"/>
  <c r="V273" a="1"/>
  <c r="V273" s="1"/>
  <c r="V272" a="1"/>
  <c r="V272" s="1"/>
  <c r="V271" a="1"/>
  <c r="V271" s="1"/>
  <c r="V270" a="1"/>
  <c r="V270" s="1"/>
  <c r="V269" a="1"/>
  <c r="V269" s="1"/>
  <c r="V268" a="1"/>
  <c r="V268" s="1"/>
  <c r="V267" a="1"/>
  <c r="V267" s="1"/>
  <c r="V266" a="1"/>
  <c r="V266" s="1"/>
  <c r="V265" a="1"/>
  <c r="V265" s="1"/>
  <c r="V264" a="1"/>
  <c r="V264" s="1"/>
  <c r="V263" a="1"/>
  <c r="V263" s="1"/>
  <c r="V262" a="1"/>
  <c r="V262" s="1"/>
  <c r="V261" a="1"/>
  <c r="V261" s="1"/>
  <c r="V260" a="1"/>
  <c r="V260" s="1"/>
  <c r="V259" a="1"/>
  <c r="V259" s="1"/>
  <c r="V258" a="1"/>
  <c r="V258" s="1"/>
  <c r="V257" a="1"/>
  <c r="V257" s="1"/>
  <c r="V256" a="1"/>
  <c r="V256" s="1"/>
  <c r="I246"/>
  <c r="I258"/>
  <c r="G207"/>
  <c r="G206"/>
  <c r="G110"/>
  <c r="G36"/>
  <c r="V87" a="1"/>
  <c r="V87" s="1"/>
  <c r="V86" a="1"/>
  <c r="V86" s="1"/>
  <c r="V85" a="1"/>
  <c r="V85" s="1"/>
  <c r="V84" a="1"/>
  <c r="V84" s="1"/>
  <c r="V83" a="1"/>
  <c r="V83" s="1"/>
  <c r="V82" a="1"/>
  <c r="V82" s="1"/>
  <c r="V81" a="1"/>
  <c r="V81" s="1"/>
  <c r="V80" a="1"/>
  <c r="V80" s="1"/>
  <c r="V79" a="1"/>
  <c r="V79" s="1"/>
  <c r="V78" a="1"/>
  <c r="V78" s="1"/>
  <c r="V77" a="1"/>
  <c r="V77" s="1"/>
  <c r="V76" a="1"/>
  <c r="V76" s="1"/>
  <c r="V75" a="1"/>
  <c r="V75" s="1"/>
  <c r="V74" a="1"/>
  <c r="V74" s="1"/>
  <c r="V73" a="1"/>
  <c r="V73" s="1"/>
  <c r="V72" a="1"/>
  <c r="V72" s="1"/>
  <c r="V71" a="1"/>
  <c r="V71" s="1"/>
  <c r="V70" a="1"/>
  <c r="V70" s="1"/>
  <c r="V69" a="1"/>
  <c r="V69" s="1"/>
  <c r="V68" a="1"/>
  <c r="V68" s="1"/>
  <c r="V67" a="1"/>
  <c r="V67" s="1"/>
  <c r="V66" a="1"/>
  <c r="V66" s="1"/>
  <c r="V65" a="1"/>
  <c r="V65" s="1"/>
  <c r="V64" a="1"/>
  <c r="V64" s="1"/>
  <c r="V63" a="1"/>
  <c r="V63" s="1"/>
  <c r="V62" a="1"/>
  <c r="V62" s="1"/>
  <c r="V61" a="1"/>
  <c r="V61" s="1"/>
  <c r="V60" a="1"/>
  <c r="V60" s="1"/>
  <c r="V59" a="1"/>
  <c r="V59" s="1"/>
  <c r="V58" a="1"/>
  <c r="V58" s="1"/>
  <c r="V57" a="1"/>
  <c r="V57" s="1"/>
  <c r="V56" a="1"/>
  <c r="V56" s="1"/>
  <c r="V55" a="1"/>
  <c r="V55" s="1"/>
  <c r="V54" a="1"/>
  <c r="V54" s="1"/>
  <c r="V53" a="1"/>
  <c r="V53" s="1"/>
  <c r="V52" a="1"/>
  <c r="V52" s="1"/>
  <c r="V51" a="1"/>
  <c r="V51" s="1"/>
  <c r="V50" a="1"/>
  <c r="V50" s="1"/>
  <c r="V49" a="1"/>
  <c r="V49" s="1"/>
  <c r="V48" a="1"/>
  <c r="V48" s="1"/>
  <c r="V47" a="1"/>
  <c r="V47" s="1"/>
  <c r="V46" a="1"/>
  <c r="V46" s="1"/>
  <c r="U203"/>
  <c r="I207"/>
  <c r="I36"/>
  <c r="H36"/>
  <c r="I110"/>
  <c r="H110"/>
  <c r="G248" i="434" l="1"/>
  <c r="G11"/>
  <c r="U412"/>
  <c r="I416"/>
  <c r="G416"/>
  <c r="G207"/>
  <c r="D450" l="1"/>
  <c r="D443"/>
  <c r="U203"/>
  <c r="W413"/>
  <c r="Y413"/>
  <c r="W414"/>
  <c r="Y414"/>
  <c r="W415"/>
  <c r="Y415"/>
  <c r="W416"/>
  <c r="Y416"/>
  <c r="W417"/>
  <c r="Y417"/>
  <c r="W418"/>
  <c r="Y418"/>
  <c r="W412"/>
  <c r="Y412"/>
  <c r="S210"/>
  <c r="V219" a="1"/>
  <c r="V219" s="1"/>
  <c r="V220" a="1"/>
  <c r="V220" s="1"/>
  <c r="V221" a="1"/>
  <c r="V221" s="1"/>
  <c r="V222" a="1"/>
  <c r="V222" s="1"/>
  <c r="V223" a="1"/>
  <c r="V223" s="1"/>
  <c r="V224" a="1"/>
  <c r="V224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6" a="1"/>
  <c r="V246" s="1"/>
  <c r="V247" a="1"/>
  <c r="V247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12" a="1"/>
  <c r="V12" s="1"/>
  <c r="V13" a="1"/>
  <c r="V13" s="1"/>
  <c r="V14" a="1"/>
  <c r="V14" s="1"/>
  <c r="V15" a="1"/>
  <c r="V15" s="1"/>
  <c r="V16" a="1"/>
  <c r="V16" s="1"/>
  <c r="V17" a="1"/>
  <c r="V17" s="1"/>
  <c r="V18" a="1"/>
  <c r="V18" s="1"/>
  <c r="V19" a="1"/>
  <c r="V19" s="1"/>
  <c r="V20" a="1"/>
  <c r="V20" s="1"/>
  <c r="V21" a="1"/>
  <c r="V21" s="1"/>
  <c r="V22" a="1"/>
  <c r="V22" s="1"/>
  <c r="V23" a="1"/>
  <c r="V23" s="1"/>
  <c r="V24" a="1"/>
  <c r="V24" s="1"/>
  <c r="V25" a="1"/>
  <c r="V25" s="1"/>
  <c r="V26" a="1"/>
  <c r="V26" s="1"/>
  <c r="V27" a="1"/>
  <c r="V27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I245" l="1"/>
  <c r="I248"/>
  <c r="H248"/>
  <c r="I319"/>
  <c r="I207"/>
  <c r="I39"/>
  <c r="I38"/>
  <c r="H38"/>
  <c r="I11"/>
  <c r="H11"/>
  <c r="G77"/>
  <c r="I77"/>
  <c r="H77"/>
  <c r="G247" i="452"/>
  <c r="K418"/>
  <c r="G417"/>
  <c r="I417"/>
  <c r="K209"/>
  <c r="G208"/>
  <c r="D450" l="1"/>
  <c r="D443"/>
  <c r="G416"/>
  <c r="I416"/>
  <c r="U412"/>
  <c r="Y412" s="1"/>
  <c r="Y413"/>
  <c r="Y414"/>
  <c r="Y415"/>
  <c r="Y416"/>
  <c r="Y417"/>
  <c r="Y418"/>
  <c r="W413"/>
  <c r="W414"/>
  <c r="W415"/>
  <c r="W416"/>
  <c r="W417"/>
  <c r="W418"/>
  <c r="W412"/>
  <c r="W419"/>
  <c r="I220"/>
  <c r="G215"/>
  <c r="G237"/>
  <c r="G28"/>
  <c r="G6"/>
  <c r="G207"/>
  <c r="I208"/>
  <c r="I207"/>
  <c r="U203"/>
  <c r="V193" a="1"/>
  <c r="V193" s="1"/>
  <c r="I100"/>
  <c r="I28"/>
  <c r="D452" l="1"/>
  <c r="I247" l="1"/>
  <c r="I237"/>
  <c r="H237"/>
  <c r="I215"/>
  <c r="H215"/>
  <c r="G309"/>
  <c r="I309"/>
  <c r="H309"/>
  <c r="G193"/>
  <c r="I193"/>
  <c r="H193"/>
  <c r="I6"/>
  <c r="I98"/>
  <c r="H98"/>
  <c r="W413" i="468"/>
  <c r="Y413"/>
  <c r="W414"/>
  <c r="Y414"/>
  <c r="W415"/>
  <c r="Y415"/>
  <c r="W416"/>
  <c r="Y416"/>
  <c r="W417"/>
  <c r="Y417"/>
  <c r="W418"/>
  <c r="Y418"/>
  <c r="W419"/>
  <c r="Y419"/>
  <c r="Y412"/>
  <c r="W412"/>
  <c r="K408" l="1" a="1"/>
  <c r="K408" s="1"/>
  <c r="L408"/>
  <c r="K209"/>
  <c r="K418"/>
  <c r="G417"/>
  <c r="G208"/>
  <c r="AA399"/>
  <c r="V408" l="1"/>
  <c r="G416"/>
  <c r="G207"/>
  <c r="I207"/>
  <c r="U418"/>
  <c r="I447"/>
  <c r="U412" l="1"/>
  <c r="U203"/>
  <c r="C451" i="469" l="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/>
  <c r="J408" a="1"/>
  <c r="I408"/>
  <c r="I408" a="1"/>
  <c r="H408"/>
  <c r="H408" a="1"/>
  <c r="G408"/>
  <c r="G408" a="1"/>
  <c r="R407"/>
  <c r="P407"/>
  <c r="S407" s="1"/>
  <c r="N407"/>
  <c r="L407"/>
  <c r="V407" s="1" a="1"/>
  <c r="V407" s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/>
  <c r="J199" a="1"/>
  <c r="I199"/>
  <c r="I199" a="1"/>
  <c r="H199"/>
  <c r="H199" a="1"/>
  <c r="G199"/>
  <c r="G199" a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V129"/>
  <c r="R129"/>
  <c r="P129"/>
  <c r="S129" s="1"/>
  <c r="N129"/>
  <c r="L129"/>
  <c r="V129" s="1" a="1"/>
  <c r="K129"/>
  <c r="R128"/>
  <c r="P128"/>
  <c r="S128" s="1"/>
  <c r="N128"/>
  <c r="L128"/>
  <c r="V128" s="1" a="1"/>
  <c r="V128" s="1"/>
  <c r="K128"/>
  <c r="V127"/>
  <c r="R127"/>
  <c r="P127"/>
  <c r="S127" s="1"/>
  <c r="N127"/>
  <c r="L127"/>
  <c r="V127" s="1" a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V120"/>
  <c r="R120"/>
  <c r="P120"/>
  <c r="S120" s="1"/>
  <c r="N120"/>
  <c r="L120"/>
  <c r="V120" s="1" a="1"/>
  <c r="K120"/>
  <c r="R119"/>
  <c r="P119"/>
  <c r="S119" s="1"/>
  <c r="N119"/>
  <c r="L119"/>
  <c r="V119" s="1" a="1"/>
  <c r="V119" s="1"/>
  <c r="K119"/>
  <c r="V118"/>
  <c r="R118"/>
  <c r="P118"/>
  <c r="S118" s="1"/>
  <c r="N118"/>
  <c r="L118"/>
  <c r="V118" s="1" a="1"/>
  <c r="K118"/>
  <c r="R117"/>
  <c r="P117"/>
  <c r="S117" s="1"/>
  <c r="N117"/>
  <c r="L117"/>
  <c r="V117" s="1" a="1"/>
  <c r="V117" s="1"/>
  <c r="K117"/>
  <c r="V116"/>
  <c r="R116"/>
  <c r="P116"/>
  <c r="S116" s="1"/>
  <c r="N116"/>
  <c r="L116"/>
  <c r="V116" s="1" a="1"/>
  <c r="K116"/>
  <c r="R115"/>
  <c r="P115"/>
  <c r="S115" s="1"/>
  <c r="N115"/>
  <c r="L115"/>
  <c r="V115" s="1" a="1"/>
  <c r="V115" s="1"/>
  <c r="K115"/>
  <c r="V114"/>
  <c r="R114"/>
  <c r="P114"/>
  <c r="S114" s="1"/>
  <c r="N114"/>
  <c r="L114"/>
  <c r="V114" s="1" a="1"/>
  <c r="K114"/>
  <c r="R113"/>
  <c r="P113"/>
  <c r="S113" s="1"/>
  <c r="N113"/>
  <c r="L113"/>
  <c r="V113" s="1" a="1"/>
  <c r="V113" s="1"/>
  <c r="K113"/>
  <c r="V112"/>
  <c r="R112"/>
  <c r="P112"/>
  <c r="S112" s="1"/>
  <c r="N112"/>
  <c r="L112"/>
  <c r="V112" s="1" a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V107"/>
  <c r="R107"/>
  <c r="P107"/>
  <c r="S107" s="1"/>
  <c r="N107"/>
  <c r="L107"/>
  <c r="V107" s="1" a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V102"/>
  <c r="R102"/>
  <c r="P102"/>
  <c r="S102" s="1"/>
  <c r="N102"/>
  <c r="L102"/>
  <c r="V102" s="1" a="1"/>
  <c r="K102"/>
  <c r="R101"/>
  <c r="P101"/>
  <c r="S101" s="1"/>
  <c r="N101"/>
  <c r="L101"/>
  <c r="V101" s="1" a="1"/>
  <c r="V101" s="1"/>
  <c r="K101"/>
  <c r="V100"/>
  <c r="R100"/>
  <c r="P100"/>
  <c r="S100" s="1"/>
  <c r="N100"/>
  <c r="L100"/>
  <c r="V100" s="1" a="1"/>
  <c r="K100"/>
  <c r="R99"/>
  <c r="P99"/>
  <c r="S99" s="1"/>
  <c r="N99"/>
  <c r="L99"/>
  <c r="V99" s="1" a="1"/>
  <c r="V99" s="1"/>
  <c r="K99"/>
  <c r="V98"/>
  <c r="R98"/>
  <c r="P98"/>
  <c r="S98" s="1"/>
  <c r="N98"/>
  <c r="L98"/>
  <c r="V98" s="1" a="1"/>
  <c r="K98"/>
  <c r="R97"/>
  <c r="P97"/>
  <c r="S97" s="1"/>
  <c r="N97"/>
  <c r="L97"/>
  <c r="V97" s="1" a="1"/>
  <c r="V97" s="1"/>
  <c r="K97"/>
  <c r="V96"/>
  <c r="R96"/>
  <c r="P96"/>
  <c r="S96" s="1"/>
  <c r="N96"/>
  <c r="L96"/>
  <c r="V96" s="1" a="1"/>
  <c r="K96"/>
  <c r="R95"/>
  <c r="P95"/>
  <c r="S95" s="1"/>
  <c r="N95"/>
  <c r="L95"/>
  <c r="V95" s="1" a="1"/>
  <c r="V95" s="1"/>
  <c r="K95"/>
  <c r="V94"/>
  <c r="R94"/>
  <c r="P94"/>
  <c r="S94" s="1"/>
  <c r="N94"/>
  <c r="L94"/>
  <c r="V94" s="1" a="1"/>
  <c r="K94"/>
  <c r="R93"/>
  <c r="P93"/>
  <c r="S93" s="1"/>
  <c r="N93"/>
  <c r="L93"/>
  <c r="V93" s="1" a="1"/>
  <c r="V93" s="1"/>
  <c r="K93"/>
  <c r="V92"/>
  <c r="R92"/>
  <c r="P92"/>
  <c r="S92" s="1"/>
  <c r="N92"/>
  <c r="L92"/>
  <c r="V92" s="1" a="1"/>
  <c r="K92"/>
  <c r="R91"/>
  <c r="P91"/>
  <c r="S91" s="1"/>
  <c r="N91"/>
  <c r="L91"/>
  <c r="V91" s="1" a="1"/>
  <c r="V91" s="1"/>
  <c r="K91"/>
  <c r="V90"/>
  <c r="R90"/>
  <c r="P90"/>
  <c r="S90" s="1"/>
  <c r="N90"/>
  <c r="L90"/>
  <c r="V90" s="1" a="1"/>
  <c r="K90"/>
  <c r="R89"/>
  <c r="P89"/>
  <c r="S89" s="1"/>
  <c r="N89"/>
  <c r="L89"/>
  <c r="V89" s="1" a="1"/>
  <c r="V89" s="1"/>
  <c r="K89"/>
  <c r="V88"/>
  <c r="R88"/>
  <c r="P88"/>
  <c r="S88" s="1"/>
  <c r="N88"/>
  <c r="L88"/>
  <c r="V88" s="1" a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V82"/>
  <c r="R82"/>
  <c r="P82"/>
  <c r="S82" s="1"/>
  <c r="N82"/>
  <c r="L82"/>
  <c r="V82" s="1" a="1"/>
  <c r="K82"/>
  <c r="R81"/>
  <c r="P81"/>
  <c r="S81" s="1"/>
  <c r="N81"/>
  <c r="L81"/>
  <c r="K81"/>
  <c r="R80"/>
  <c r="P80"/>
  <c r="S80" s="1"/>
  <c r="N80"/>
  <c r="L80"/>
  <c r="V80" s="1" a="1"/>
  <c r="V80" s="1"/>
  <c r="K80"/>
  <c r="V79"/>
  <c r="R79"/>
  <c r="P79"/>
  <c r="S79" s="1"/>
  <c r="N79"/>
  <c r="L79"/>
  <c r="V79" s="1" a="1"/>
  <c r="K79"/>
  <c r="R78"/>
  <c r="P78"/>
  <c r="S78" s="1"/>
  <c r="N78"/>
  <c r="L78"/>
  <c r="V78" s="1" a="1"/>
  <c r="V78" s="1"/>
  <c r="K78"/>
  <c r="V77"/>
  <c r="R77"/>
  <c r="P77"/>
  <c r="S77" s="1"/>
  <c r="N77"/>
  <c r="L77"/>
  <c r="V77" s="1" a="1"/>
  <c r="K77"/>
  <c r="R76"/>
  <c r="P76"/>
  <c r="S76" s="1"/>
  <c r="N76"/>
  <c r="L76"/>
  <c r="V76" s="1" a="1"/>
  <c r="V76" s="1"/>
  <c r="K76"/>
  <c r="V75"/>
  <c r="R75"/>
  <c r="P75"/>
  <c r="S75" s="1"/>
  <c r="N75"/>
  <c r="L75"/>
  <c r="V75" s="1" a="1"/>
  <c r="K75"/>
  <c r="R74"/>
  <c r="P74"/>
  <c r="S74" s="1"/>
  <c r="N74"/>
  <c r="L74"/>
  <c r="V74" s="1" a="1"/>
  <c r="V74" s="1"/>
  <c r="K74"/>
  <c r="V73"/>
  <c r="R73"/>
  <c r="P73"/>
  <c r="S73" s="1"/>
  <c r="N73"/>
  <c r="L73"/>
  <c r="V73" s="1" a="1"/>
  <c r="K73"/>
  <c r="R72"/>
  <c r="P72"/>
  <c r="S72" s="1"/>
  <c r="N72"/>
  <c r="L72"/>
  <c r="V72" s="1" a="1"/>
  <c r="V72" s="1"/>
  <c r="K72"/>
  <c r="V71"/>
  <c r="R71"/>
  <c r="P71"/>
  <c r="S71" s="1"/>
  <c r="N71"/>
  <c r="L71"/>
  <c r="V71" s="1" a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S44" s="1"/>
  <c r="N44"/>
  <c r="P44" s="1"/>
  <c r="L44"/>
  <c r="V44" s="1" a="1"/>
  <c r="V44" s="1"/>
  <c r="K44"/>
  <c r="R43"/>
  <c r="S43" s="1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468"/>
  <c r="U451" s="1" a="1"/>
  <c r="U451" s="1"/>
  <c r="P450"/>
  <c r="O450"/>
  <c r="N450"/>
  <c r="M450"/>
  <c r="L450"/>
  <c r="K450"/>
  <c r="I450"/>
  <c r="H450"/>
  <c r="G450"/>
  <c r="F450"/>
  <c r="E450"/>
  <c r="D450"/>
  <c r="C450" s="1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K417"/>
  <c r="G420" s="1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W409" s="1"/>
  <c r="O408" a="1"/>
  <c r="O408" s="1"/>
  <c r="G408" a="1"/>
  <c r="G408" s="1"/>
  <c r="R407"/>
  <c r="P407"/>
  <c r="S407" s="1"/>
  <c r="N407"/>
  <c r="L407"/>
  <c r="V407" s="1" a="1"/>
  <c r="V407" s="1"/>
  <c r="K407"/>
  <c r="V406"/>
  <c r="R406"/>
  <c r="P406"/>
  <c r="S406" s="1"/>
  <c r="N406"/>
  <c r="L406"/>
  <c r="V406" s="1" a="1"/>
  <c r="K406"/>
  <c r="R405"/>
  <c r="P405"/>
  <c r="S405" s="1"/>
  <c r="N405"/>
  <c r="L405"/>
  <c r="V405" s="1" a="1"/>
  <c r="V405" s="1"/>
  <c r="K405"/>
  <c r="V404"/>
  <c r="R404"/>
  <c r="P404"/>
  <c r="S404" s="1"/>
  <c r="N404"/>
  <c r="L404"/>
  <c r="V404" s="1" a="1"/>
  <c r="K404"/>
  <c r="R403"/>
  <c r="P403"/>
  <c r="S403" s="1"/>
  <c r="N403"/>
  <c r="L403"/>
  <c r="K403"/>
  <c r="R402"/>
  <c r="N402"/>
  <c r="K402"/>
  <c r="I402"/>
  <c r="P402" s="1"/>
  <c r="R401"/>
  <c r="S401" s="1"/>
  <c r="N401"/>
  <c r="P401" s="1"/>
  <c r="L401"/>
  <c r="K401"/>
  <c r="R400"/>
  <c r="S400" s="1"/>
  <c r="N400"/>
  <c r="P400" s="1"/>
  <c r="L400"/>
  <c r="K400"/>
  <c r="R399"/>
  <c r="N399"/>
  <c r="P399" s="1"/>
  <c r="L399"/>
  <c r="K399"/>
  <c r="R398"/>
  <c r="N398"/>
  <c r="K398"/>
  <c r="H398"/>
  <c r="I398" s="1"/>
  <c r="L398" s="1"/>
  <c r="R397"/>
  <c r="N397"/>
  <c r="P397" s="1"/>
  <c r="L397"/>
  <c r="K397"/>
  <c r="R396"/>
  <c r="S396" s="1"/>
  <c r="N396"/>
  <c r="P396" s="1"/>
  <c r="L396"/>
  <c r="K396"/>
  <c r="R395"/>
  <c r="N395"/>
  <c r="P395" s="1"/>
  <c r="L395"/>
  <c r="K395"/>
  <c r="R394"/>
  <c r="S394" s="1"/>
  <c r="N394"/>
  <c r="P394" s="1"/>
  <c r="L394"/>
  <c r="K394"/>
  <c r="R393"/>
  <c r="N393"/>
  <c r="P393" s="1"/>
  <c r="L393"/>
  <c r="K393"/>
  <c r="R392"/>
  <c r="S392" s="1"/>
  <c r="N392"/>
  <c r="P392" s="1"/>
  <c r="L392"/>
  <c r="K392"/>
  <c r="R391"/>
  <c r="N391"/>
  <c r="P391" s="1"/>
  <c r="L391"/>
  <c r="K391"/>
  <c r="R390"/>
  <c r="S390" s="1"/>
  <c r="N390"/>
  <c r="P390" s="1"/>
  <c r="L390"/>
  <c r="K390"/>
  <c r="R389"/>
  <c r="N389"/>
  <c r="P389" s="1"/>
  <c r="L389"/>
  <c r="K389"/>
  <c r="R388"/>
  <c r="S388" s="1"/>
  <c r="N388"/>
  <c r="P388" s="1"/>
  <c r="L388"/>
  <c r="K388"/>
  <c r="R387"/>
  <c r="N387"/>
  <c r="P387" s="1"/>
  <c r="L387"/>
  <c r="K387"/>
  <c r="R386"/>
  <c r="S386" s="1"/>
  <c r="N386"/>
  <c r="P386" s="1"/>
  <c r="L386"/>
  <c r="K386"/>
  <c r="R385"/>
  <c r="N385"/>
  <c r="P385" s="1"/>
  <c r="L385"/>
  <c r="K385"/>
  <c r="R384"/>
  <c r="S384" s="1"/>
  <c r="N384"/>
  <c r="P384" s="1"/>
  <c r="L384"/>
  <c r="K384"/>
  <c r="R383"/>
  <c r="N383"/>
  <c r="P383" s="1"/>
  <c r="L383"/>
  <c r="K383"/>
  <c r="R382"/>
  <c r="S382" s="1"/>
  <c r="N382"/>
  <c r="P382" s="1"/>
  <c r="L382"/>
  <c r="K382"/>
  <c r="R381"/>
  <c r="N381"/>
  <c r="P381" s="1"/>
  <c r="L381"/>
  <c r="K381"/>
  <c r="R380"/>
  <c r="S380" s="1"/>
  <c r="N380"/>
  <c r="P380" s="1"/>
  <c r="L380"/>
  <c r="K380"/>
  <c r="R379"/>
  <c r="N379"/>
  <c r="P379" s="1"/>
  <c r="L379"/>
  <c r="K379"/>
  <c r="R378"/>
  <c r="S378" s="1"/>
  <c r="N378"/>
  <c r="P378" s="1"/>
  <c r="L378"/>
  <c r="K378"/>
  <c r="R377"/>
  <c r="N377"/>
  <c r="P377" s="1"/>
  <c r="L377"/>
  <c r="K377"/>
  <c r="R376"/>
  <c r="N376"/>
  <c r="P376" s="1"/>
  <c r="L376"/>
  <c r="K376"/>
  <c r="R375"/>
  <c r="N375"/>
  <c r="P375" s="1"/>
  <c r="L375"/>
  <c r="K375"/>
  <c r="R374"/>
  <c r="N374"/>
  <c r="P374" s="1"/>
  <c r="L374"/>
  <c r="K374"/>
  <c r="R373"/>
  <c r="N373"/>
  <c r="P373" s="1"/>
  <c r="L373"/>
  <c r="K373"/>
  <c r="R372"/>
  <c r="N372"/>
  <c r="P372" s="1"/>
  <c r="L372"/>
  <c r="K372"/>
  <c r="R371"/>
  <c r="N371"/>
  <c r="P371" s="1"/>
  <c r="L371"/>
  <c r="K371"/>
  <c r="R370"/>
  <c r="N370"/>
  <c r="P370" s="1"/>
  <c r="L370"/>
  <c r="K370"/>
  <c r="R369"/>
  <c r="N369"/>
  <c r="P369" s="1"/>
  <c r="L369"/>
  <c r="K369"/>
  <c r="R368"/>
  <c r="N368"/>
  <c r="P368" s="1"/>
  <c r="L368"/>
  <c r="K368"/>
  <c r="R367"/>
  <c r="N367"/>
  <c r="P367" s="1"/>
  <c r="L367"/>
  <c r="K367"/>
  <c r="R366"/>
  <c r="N366"/>
  <c r="P366" s="1"/>
  <c r="L366"/>
  <c r="K366"/>
  <c r="R365"/>
  <c r="N365"/>
  <c r="P365" s="1"/>
  <c r="L365"/>
  <c r="K365"/>
  <c r="R364"/>
  <c r="N364"/>
  <c r="P364" s="1"/>
  <c r="L364"/>
  <c r="K364"/>
  <c r="R363"/>
  <c r="N363"/>
  <c r="P363" s="1"/>
  <c r="L363"/>
  <c r="K363"/>
  <c r="R362"/>
  <c r="N362"/>
  <c r="P362" s="1"/>
  <c r="L362"/>
  <c r="K362"/>
  <c r="R361"/>
  <c r="N361"/>
  <c r="P361" s="1"/>
  <c r="L361"/>
  <c r="K361"/>
  <c r="R360"/>
  <c r="N360"/>
  <c r="P360" s="1"/>
  <c r="L360"/>
  <c r="K360"/>
  <c r="R359"/>
  <c r="N359"/>
  <c r="P359" s="1"/>
  <c r="L359"/>
  <c r="K359"/>
  <c r="R358"/>
  <c r="S358" s="1"/>
  <c r="N358"/>
  <c r="P358" s="1"/>
  <c r="L358"/>
  <c r="K358"/>
  <c r="R357"/>
  <c r="N357"/>
  <c r="P357" s="1"/>
  <c r="L357"/>
  <c r="K357"/>
  <c r="R356"/>
  <c r="S356" s="1"/>
  <c r="N356"/>
  <c r="P356" s="1"/>
  <c r="L356"/>
  <c r="K356"/>
  <c r="R355"/>
  <c r="N355"/>
  <c r="P355" s="1"/>
  <c r="L355"/>
  <c r="K355"/>
  <c r="R354"/>
  <c r="N354"/>
  <c r="P354" s="1"/>
  <c r="L354"/>
  <c r="K354"/>
  <c r="R353"/>
  <c r="N353"/>
  <c r="P353" s="1"/>
  <c r="L353"/>
  <c r="K353"/>
  <c r="R352"/>
  <c r="N352"/>
  <c r="P352" s="1"/>
  <c r="L352"/>
  <c r="K352"/>
  <c r="R351"/>
  <c r="N351"/>
  <c r="P351" s="1"/>
  <c r="L351"/>
  <c r="K351"/>
  <c r="R350"/>
  <c r="N350"/>
  <c r="P350" s="1"/>
  <c r="L350"/>
  <c r="K350"/>
  <c r="R349"/>
  <c r="N349"/>
  <c r="P349" s="1"/>
  <c r="L349"/>
  <c r="K349"/>
  <c r="R348"/>
  <c r="N348"/>
  <c r="P348" s="1"/>
  <c r="L348"/>
  <c r="K348"/>
  <c r="R347"/>
  <c r="N347"/>
  <c r="P347" s="1"/>
  <c r="L347"/>
  <c r="K347"/>
  <c r="R346"/>
  <c r="N346"/>
  <c r="P346" s="1"/>
  <c r="L346"/>
  <c r="K346"/>
  <c r="R345"/>
  <c r="N345"/>
  <c r="P345" s="1"/>
  <c r="L345"/>
  <c r="K345"/>
  <c r="R344"/>
  <c r="N344"/>
  <c r="P344" s="1"/>
  <c r="L344"/>
  <c r="K344"/>
  <c r="R343"/>
  <c r="N343"/>
  <c r="P343" s="1"/>
  <c r="L343"/>
  <c r="K343"/>
  <c r="R342"/>
  <c r="N342"/>
  <c r="P342" s="1"/>
  <c r="L342"/>
  <c r="K342"/>
  <c r="R341"/>
  <c r="N341"/>
  <c r="P341" s="1"/>
  <c r="L341"/>
  <c r="K341"/>
  <c r="R340"/>
  <c r="N340"/>
  <c r="P340" s="1"/>
  <c r="L340"/>
  <c r="K340"/>
  <c r="R339"/>
  <c r="N339"/>
  <c r="P339" s="1"/>
  <c r="L339"/>
  <c r="K339"/>
  <c r="R338"/>
  <c r="N338"/>
  <c r="P338" s="1"/>
  <c r="L338"/>
  <c r="K338"/>
  <c r="R337"/>
  <c r="N337"/>
  <c r="P337" s="1"/>
  <c r="L337"/>
  <c r="K337"/>
  <c r="R336"/>
  <c r="N336"/>
  <c r="P336" s="1"/>
  <c r="L336"/>
  <c r="K336"/>
  <c r="R335"/>
  <c r="N335"/>
  <c r="P335" s="1"/>
  <c r="L335"/>
  <c r="K335"/>
  <c r="R334"/>
  <c r="N334"/>
  <c r="P334" s="1"/>
  <c r="L334"/>
  <c r="K334"/>
  <c r="R333"/>
  <c r="N333"/>
  <c r="P333" s="1"/>
  <c r="L333"/>
  <c r="K333"/>
  <c r="R332"/>
  <c r="N332"/>
  <c r="P332" s="1"/>
  <c r="L332"/>
  <c r="K332"/>
  <c r="R331"/>
  <c r="N331"/>
  <c r="P331" s="1"/>
  <c r="L331"/>
  <c r="K331"/>
  <c r="R330"/>
  <c r="N330"/>
  <c r="P330" s="1"/>
  <c r="L330"/>
  <c r="K330"/>
  <c r="R329"/>
  <c r="N329"/>
  <c r="P329" s="1"/>
  <c r="L329"/>
  <c r="K329"/>
  <c r="R328"/>
  <c r="N328"/>
  <c r="P328" s="1"/>
  <c r="L328"/>
  <c r="K328"/>
  <c r="R327"/>
  <c r="N327"/>
  <c r="P327" s="1"/>
  <c r="L327"/>
  <c r="K327"/>
  <c r="R326"/>
  <c r="N326"/>
  <c r="P326" s="1"/>
  <c r="L326"/>
  <c r="K326"/>
  <c r="R325"/>
  <c r="N325"/>
  <c r="P325" s="1"/>
  <c r="L325"/>
  <c r="K325"/>
  <c r="R324"/>
  <c r="N324"/>
  <c r="P324" s="1"/>
  <c r="L324"/>
  <c r="K324"/>
  <c r="R323"/>
  <c r="N323"/>
  <c r="P323" s="1"/>
  <c r="L323"/>
  <c r="K323"/>
  <c r="R322"/>
  <c r="N322"/>
  <c r="P322" s="1"/>
  <c r="L322"/>
  <c r="K322"/>
  <c r="R321"/>
  <c r="N321"/>
  <c r="P321" s="1"/>
  <c r="L321"/>
  <c r="K321"/>
  <c r="R320"/>
  <c r="N320"/>
  <c r="P320" s="1"/>
  <c r="L320"/>
  <c r="K320"/>
  <c r="R319"/>
  <c r="N319"/>
  <c r="P319" s="1"/>
  <c r="L319"/>
  <c r="K319"/>
  <c r="R318"/>
  <c r="N318"/>
  <c r="P318" s="1"/>
  <c r="L318"/>
  <c r="K318"/>
  <c r="R317"/>
  <c r="N317"/>
  <c r="P317" s="1"/>
  <c r="L317"/>
  <c r="K317"/>
  <c r="R316"/>
  <c r="N316"/>
  <c r="P316" s="1"/>
  <c r="L316"/>
  <c r="K316"/>
  <c r="R315"/>
  <c r="N315"/>
  <c r="P315" s="1"/>
  <c r="L315"/>
  <c r="K315"/>
  <c r="R314"/>
  <c r="N314"/>
  <c r="P314" s="1"/>
  <c r="L314"/>
  <c r="K314"/>
  <c r="R313"/>
  <c r="N313"/>
  <c r="P313" s="1"/>
  <c r="L313"/>
  <c r="K313"/>
  <c r="R312"/>
  <c r="N312"/>
  <c r="P312" s="1"/>
  <c r="L312"/>
  <c r="K312"/>
  <c r="R311"/>
  <c r="N311"/>
  <c r="P311" s="1"/>
  <c r="L311"/>
  <c r="K311"/>
  <c r="R310"/>
  <c r="N310"/>
  <c r="P310" s="1"/>
  <c r="L310"/>
  <c r="K310"/>
  <c r="R309"/>
  <c r="N309"/>
  <c r="P309" s="1"/>
  <c r="L309"/>
  <c r="K309"/>
  <c r="R308"/>
  <c r="N308"/>
  <c r="K308"/>
  <c r="H308"/>
  <c r="I308" s="1"/>
  <c r="L308" s="1"/>
  <c r="R307"/>
  <c r="N307"/>
  <c r="P307" s="1"/>
  <c r="K307"/>
  <c r="J307"/>
  <c r="J408" s="1" a="1"/>
  <c r="J408" s="1"/>
  <c r="I307"/>
  <c r="L307" s="1"/>
  <c r="V307" s="1" a="1"/>
  <c r="V307" s="1"/>
  <c r="R306"/>
  <c r="S306" s="1"/>
  <c r="N306"/>
  <c r="P306" s="1"/>
  <c r="L306"/>
  <c r="K306"/>
  <c r="R305"/>
  <c r="S305" s="1"/>
  <c r="N305"/>
  <c r="P305" s="1"/>
  <c r="L305"/>
  <c r="K305"/>
  <c r="R304"/>
  <c r="S304" s="1"/>
  <c r="N304"/>
  <c r="P304" s="1"/>
  <c r="L304"/>
  <c r="K304"/>
  <c r="R303"/>
  <c r="S303" s="1"/>
  <c r="N303"/>
  <c r="P303" s="1"/>
  <c r="L303"/>
  <c r="K303"/>
  <c r="R302"/>
  <c r="S302" s="1"/>
  <c r="N302"/>
  <c r="P302" s="1"/>
  <c r="L302"/>
  <c r="K302"/>
  <c r="R301"/>
  <c r="S301" s="1"/>
  <c r="N301"/>
  <c r="P301" s="1"/>
  <c r="L301"/>
  <c r="K301"/>
  <c r="R300"/>
  <c r="S300" s="1"/>
  <c r="N300"/>
  <c r="P300" s="1"/>
  <c r="L300"/>
  <c r="K300"/>
  <c r="R299"/>
  <c r="S299" s="1"/>
  <c r="N299"/>
  <c r="P299" s="1"/>
  <c r="L299"/>
  <c r="K299"/>
  <c r="R298"/>
  <c r="S298" s="1"/>
  <c r="N298"/>
  <c r="P298" s="1"/>
  <c r="L298"/>
  <c r="K298"/>
  <c r="R297"/>
  <c r="S297" s="1"/>
  <c r="N297"/>
  <c r="P297" s="1"/>
  <c r="L297"/>
  <c r="K297"/>
  <c r="R296"/>
  <c r="S296" s="1"/>
  <c r="N296"/>
  <c r="P296" s="1"/>
  <c r="L296"/>
  <c r="K296"/>
  <c r="R295"/>
  <c r="S295" s="1"/>
  <c r="N295"/>
  <c r="P295" s="1"/>
  <c r="L295"/>
  <c r="K295"/>
  <c r="R294"/>
  <c r="S294" s="1"/>
  <c r="N294"/>
  <c r="P294" s="1"/>
  <c r="L294"/>
  <c r="K294"/>
  <c r="R293"/>
  <c r="S293" s="1"/>
  <c r="N293"/>
  <c r="P293" s="1"/>
  <c r="L293"/>
  <c r="K293"/>
  <c r="R292"/>
  <c r="S292" s="1"/>
  <c r="N292"/>
  <c r="P292" s="1"/>
  <c r="L292"/>
  <c r="K292"/>
  <c r="R291"/>
  <c r="S291" s="1"/>
  <c r="N291"/>
  <c r="P291" s="1"/>
  <c r="L291"/>
  <c r="K291"/>
  <c r="R290"/>
  <c r="S290" s="1"/>
  <c r="N290"/>
  <c r="P290" s="1"/>
  <c r="L290"/>
  <c r="K290"/>
  <c r="R289"/>
  <c r="S289" s="1"/>
  <c r="N289"/>
  <c r="P289" s="1"/>
  <c r="L289"/>
  <c r="K289"/>
  <c r="R288"/>
  <c r="S288" s="1"/>
  <c r="N288"/>
  <c r="P288" s="1"/>
  <c r="L288"/>
  <c r="K288"/>
  <c r="R287"/>
  <c r="S287" s="1"/>
  <c r="N287"/>
  <c r="P287" s="1"/>
  <c r="L287"/>
  <c r="K287"/>
  <c r="R286"/>
  <c r="S286" s="1"/>
  <c r="N286"/>
  <c r="P286" s="1"/>
  <c r="L286"/>
  <c r="K286"/>
  <c r="R285"/>
  <c r="S285" s="1"/>
  <c r="N285"/>
  <c r="P285" s="1"/>
  <c r="L285"/>
  <c r="K285"/>
  <c r="R284"/>
  <c r="N284"/>
  <c r="P284" s="1"/>
  <c r="L284"/>
  <c r="K284"/>
  <c r="R283"/>
  <c r="S283" s="1"/>
  <c r="N283"/>
  <c r="P283" s="1"/>
  <c r="L283"/>
  <c r="K283"/>
  <c r="R282"/>
  <c r="S282" s="1"/>
  <c r="N282"/>
  <c r="P282" s="1"/>
  <c r="L282"/>
  <c r="K282"/>
  <c r="R281"/>
  <c r="S281" s="1"/>
  <c r="N281"/>
  <c r="P281" s="1"/>
  <c r="L281"/>
  <c r="K281"/>
  <c r="R280"/>
  <c r="S280" s="1"/>
  <c r="N280"/>
  <c r="P280" s="1"/>
  <c r="L280"/>
  <c r="K280"/>
  <c r="R279"/>
  <c r="S279" s="1"/>
  <c r="N279"/>
  <c r="P279" s="1"/>
  <c r="L279"/>
  <c r="K279"/>
  <c r="R278"/>
  <c r="S278" s="1"/>
  <c r="N278"/>
  <c r="P278" s="1"/>
  <c r="L278"/>
  <c r="K278"/>
  <c r="R277"/>
  <c r="S277" s="1"/>
  <c r="N277"/>
  <c r="P277" s="1"/>
  <c r="L277"/>
  <c r="K277"/>
  <c r="R276"/>
  <c r="S276" s="1"/>
  <c r="N276"/>
  <c r="P276" s="1"/>
  <c r="L276"/>
  <c r="K276"/>
  <c r="R275"/>
  <c r="S275" s="1"/>
  <c r="N275"/>
  <c r="P275" s="1"/>
  <c r="L275"/>
  <c r="K275"/>
  <c r="R274"/>
  <c r="S274" s="1"/>
  <c r="N274"/>
  <c r="P274" s="1"/>
  <c r="L274"/>
  <c r="K274"/>
  <c r="R273"/>
  <c r="S273" s="1"/>
  <c r="N273"/>
  <c r="P273" s="1"/>
  <c r="L273"/>
  <c r="K273"/>
  <c r="R272"/>
  <c r="S272" s="1"/>
  <c r="N272"/>
  <c r="P272" s="1"/>
  <c r="L272"/>
  <c r="K272"/>
  <c r="R271"/>
  <c r="S271" s="1"/>
  <c r="N271"/>
  <c r="P271" s="1"/>
  <c r="L271"/>
  <c r="K271"/>
  <c r="R270"/>
  <c r="S270" s="1"/>
  <c r="N270"/>
  <c r="P270" s="1"/>
  <c r="L270"/>
  <c r="K270"/>
  <c r="R269"/>
  <c r="S269" s="1"/>
  <c r="N269"/>
  <c r="P269" s="1"/>
  <c r="L269"/>
  <c r="K269"/>
  <c r="R268"/>
  <c r="S268" s="1"/>
  <c r="N268"/>
  <c r="P268" s="1"/>
  <c r="L268"/>
  <c r="K268"/>
  <c r="R267"/>
  <c r="S267" s="1"/>
  <c r="N267"/>
  <c r="P267" s="1"/>
  <c r="L267"/>
  <c r="K267"/>
  <c r="R266"/>
  <c r="S266" s="1"/>
  <c r="N266"/>
  <c r="P266" s="1"/>
  <c r="L266"/>
  <c r="K266"/>
  <c r="R265"/>
  <c r="S265" s="1"/>
  <c r="N265"/>
  <c r="P265" s="1"/>
  <c r="L265"/>
  <c r="K265"/>
  <c r="R264"/>
  <c r="S264" s="1"/>
  <c r="N264"/>
  <c r="P264" s="1"/>
  <c r="L264"/>
  <c r="K264"/>
  <c r="R263"/>
  <c r="S263" s="1"/>
  <c r="N263"/>
  <c r="P263" s="1"/>
  <c r="L263"/>
  <c r="K263"/>
  <c r="R262"/>
  <c r="S262" s="1"/>
  <c r="N262"/>
  <c r="P262" s="1"/>
  <c r="L262"/>
  <c r="K262"/>
  <c r="R261"/>
  <c r="S261" s="1"/>
  <c r="N261"/>
  <c r="P261" s="1"/>
  <c r="L261"/>
  <c r="K261"/>
  <c r="R260"/>
  <c r="S260" s="1"/>
  <c r="N260"/>
  <c r="P260" s="1"/>
  <c r="L260"/>
  <c r="K260"/>
  <c r="R259"/>
  <c r="S259" s="1"/>
  <c r="N259"/>
  <c r="P259" s="1"/>
  <c r="L259"/>
  <c r="K259"/>
  <c r="R258"/>
  <c r="S258" s="1"/>
  <c r="N258"/>
  <c r="P258" s="1"/>
  <c r="L258"/>
  <c r="K258"/>
  <c r="R257"/>
  <c r="S257" s="1"/>
  <c r="N257"/>
  <c r="P257" s="1"/>
  <c r="L257"/>
  <c r="K257"/>
  <c r="R256"/>
  <c r="S256" s="1"/>
  <c r="N256"/>
  <c r="P256" s="1"/>
  <c r="L256"/>
  <c r="K256"/>
  <c r="R255"/>
  <c r="S255" s="1"/>
  <c r="N255"/>
  <c r="P255" s="1"/>
  <c r="L255"/>
  <c r="K255"/>
  <c r="R254"/>
  <c r="S254" s="1"/>
  <c r="N254"/>
  <c r="P254" s="1"/>
  <c r="L254"/>
  <c r="K254"/>
  <c r="R253"/>
  <c r="S253" s="1"/>
  <c r="N253"/>
  <c r="P253" s="1"/>
  <c r="L253"/>
  <c r="K253"/>
  <c r="R252"/>
  <c r="S252" s="1"/>
  <c r="N252"/>
  <c r="P252" s="1"/>
  <c r="L252"/>
  <c r="K252"/>
  <c r="R251"/>
  <c r="S251" s="1"/>
  <c r="N251"/>
  <c r="P251" s="1"/>
  <c r="L251"/>
  <c r="K251"/>
  <c r="R250"/>
  <c r="S250" s="1"/>
  <c r="N250"/>
  <c r="P250" s="1"/>
  <c r="L250"/>
  <c r="K250"/>
  <c r="R249"/>
  <c r="S249" s="1"/>
  <c r="N249"/>
  <c r="P249" s="1"/>
  <c r="L249"/>
  <c r="K249"/>
  <c r="R248"/>
  <c r="S248" s="1"/>
  <c r="N248"/>
  <c r="P248" s="1"/>
  <c r="L248"/>
  <c r="K248"/>
  <c r="R247"/>
  <c r="S247" s="1"/>
  <c r="N247"/>
  <c r="P247" s="1"/>
  <c r="L247"/>
  <c r="K247"/>
  <c r="R246"/>
  <c r="S246" s="1"/>
  <c r="N246"/>
  <c r="P246" s="1"/>
  <c r="L246"/>
  <c r="K246"/>
  <c r="R245"/>
  <c r="S245" s="1"/>
  <c r="N245"/>
  <c r="P245" s="1"/>
  <c r="L245"/>
  <c r="K245"/>
  <c r="R244"/>
  <c r="S244" s="1"/>
  <c r="N244"/>
  <c r="P244" s="1"/>
  <c r="L244"/>
  <c r="K244"/>
  <c r="R243"/>
  <c r="S243" s="1"/>
  <c r="N243"/>
  <c r="P243" s="1"/>
  <c r="L243"/>
  <c r="K243"/>
  <c r="R242"/>
  <c r="S242" s="1"/>
  <c r="N242"/>
  <c r="P242" s="1"/>
  <c r="L242"/>
  <c r="K242"/>
  <c r="R241"/>
  <c r="S241" s="1"/>
  <c r="N241"/>
  <c r="P241" s="1"/>
  <c r="L241"/>
  <c r="K241"/>
  <c r="R240"/>
  <c r="S240" s="1"/>
  <c r="N240"/>
  <c r="P240" s="1"/>
  <c r="L240"/>
  <c r="K240"/>
  <c r="R239"/>
  <c r="S239" s="1"/>
  <c r="N239"/>
  <c r="P239" s="1"/>
  <c r="L239"/>
  <c r="K239"/>
  <c r="R238"/>
  <c r="S238" s="1"/>
  <c r="N238"/>
  <c r="P238" s="1"/>
  <c r="L238"/>
  <c r="V238" s="1" a="1"/>
  <c r="V238" s="1"/>
  <c r="K238"/>
  <c r="R237"/>
  <c r="S237" s="1"/>
  <c r="N237"/>
  <c r="P237" s="1"/>
  <c r="L237"/>
  <c r="K237"/>
  <c r="R236"/>
  <c r="N236"/>
  <c r="K236"/>
  <c r="H236"/>
  <c r="H408" s="1" a="1"/>
  <c r="H408" s="1"/>
  <c r="R235"/>
  <c r="N235"/>
  <c r="P235" s="1"/>
  <c r="L235"/>
  <c r="K235"/>
  <c r="V235" s="1" a="1"/>
  <c r="V235" s="1"/>
  <c r="R234"/>
  <c r="S234" s="1"/>
  <c r="N234"/>
  <c r="P234" s="1"/>
  <c r="L234"/>
  <c r="K234"/>
  <c r="V234" s="1" a="1"/>
  <c r="V234" s="1"/>
  <c r="R233"/>
  <c r="S233" s="1"/>
  <c r="N233"/>
  <c r="P233" s="1"/>
  <c r="L233"/>
  <c r="K233"/>
  <c r="V233" s="1" a="1"/>
  <c r="V233" s="1"/>
  <c r="R232"/>
  <c r="N232"/>
  <c r="P232" s="1"/>
  <c r="L232"/>
  <c r="K232"/>
  <c r="V232" s="1" a="1"/>
  <c r="V232" s="1"/>
  <c r="R231"/>
  <c r="N231"/>
  <c r="P231" s="1"/>
  <c r="L231"/>
  <c r="K231"/>
  <c r="V231" s="1" a="1"/>
  <c r="V231" s="1"/>
  <c r="R230"/>
  <c r="N230"/>
  <c r="P230" s="1"/>
  <c r="L230"/>
  <c r="K230"/>
  <c r="V230" s="1" a="1"/>
  <c r="V230" s="1"/>
  <c r="R229"/>
  <c r="N229"/>
  <c r="P229" s="1"/>
  <c r="L229"/>
  <c r="K229"/>
  <c r="V229" s="1" a="1"/>
  <c r="V229" s="1"/>
  <c r="R228"/>
  <c r="N228"/>
  <c r="P228" s="1"/>
  <c r="L228"/>
  <c r="K228"/>
  <c r="V228" s="1" a="1"/>
  <c r="V228" s="1"/>
  <c r="R227"/>
  <c r="N227"/>
  <c r="P227" s="1"/>
  <c r="L227"/>
  <c r="K227"/>
  <c r="V227" s="1" a="1"/>
  <c r="V227" s="1"/>
  <c r="R226"/>
  <c r="N226"/>
  <c r="P226" s="1"/>
  <c r="L226"/>
  <c r="K226"/>
  <c r="V226" s="1" a="1"/>
  <c r="V226" s="1"/>
  <c r="R225"/>
  <c r="N225"/>
  <c r="P225" s="1"/>
  <c r="L225"/>
  <c r="K225"/>
  <c r="V225" s="1" a="1"/>
  <c r="V225" s="1"/>
  <c r="R224"/>
  <c r="N224"/>
  <c r="P224" s="1"/>
  <c r="L224"/>
  <c r="K224"/>
  <c r="R223"/>
  <c r="N223"/>
  <c r="P223" s="1"/>
  <c r="L223"/>
  <c r="K223"/>
  <c r="R222"/>
  <c r="N222"/>
  <c r="P222" s="1"/>
  <c r="L222"/>
  <c r="K222"/>
  <c r="V222" s="1" a="1"/>
  <c r="V222" s="1"/>
  <c r="R221"/>
  <c r="N221"/>
  <c r="P221" s="1"/>
  <c r="L221"/>
  <c r="K221"/>
  <c r="V221" s="1" a="1"/>
  <c r="V221" s="1"/>
  <c r="R220"/>
  <c r="N220"/>
  <c r="P220" s="1"/>
  <c r="L220"/>
  <c r="K220"/>
  <c r="V220" s="1" a="1"/>
  <c r="V220" s="1"/>
  <c r="R219"/>
  <c r="N219"/>
  <c r="P219" s="1"/>
  <c r="L219"/>
  <c r="K219"/>
  <c r="V219" s="1" a="1"/>
  <c r="V219" s="1"/>
  <c r="R218"/>
  <c r="N218"/>
  <c r="P218" s="1"/>
  <c r="L218"/>
  <c r="K218"/>
  <c r="V218" s="1" a="1"/>
  <c r="V218" s="1"/>
  <c r="R217"/>
  <c r="N217"/>
  <c r="P217" s="1"/>
  <c r="L217"/>
  <c r="K217"/>
  <c r="V217" s="1" a="1"/>
  <c r="V217" s="1"/>
  <c r="R216"/>
  <c r="N216"/>
  <c r="P216" s="1"/>
  <c r="L216"/>
  <c r="K216"/>
  <c r="V216" s="1" a="1"/>
  <c r="V216" s="1"/>
  <c r="R215"/>
  <c r="N215"/>
  <c r="P215" s="1"/>
  <c r="L215"/>
  <c r="K215"/>
  <c r="U210"/>
  <c r="Y210" s="1"/>
  <c r="S210"/>
  <c r="W210" s="1"/>
  <c r="Y209"/>
  <c r="W209"/>
  <c r="Y208"/>
  <c r="W208"/>
  <c r="K208"/>
  <c r="C428" s="1"/>
  <c r="Y207"/>
  <c r="AA207" s="1"/>
  <c r="W207"/>
  <c r="K207"/>
  <c r="C427" s="1"/>
  <c r="Y206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H199" a="1"/>
  <c r="H199" s="1"/>
  <c r="G199" a="1"/>
  <c r="G199" s="1"/>
  <c r="R198"/>
  <c r="P198"/>
  <c r="S198" s="1"/>
  <c r="N198"/>
  <c r="L198"/>
  <c r="V198" s="1" a="1"/>
  <c r="V198" s="1"/>
  <c r="K198"/>
  <c r="V197"/>
  <c r="R197"/>
  <c r="P197"/>
  <c r="S197" s="1"/>
  <c r="N197"/>
  <c r="L197"/>
  <c r="V197" s="1" a="1"/>
  <c r="K197"/>
  <c r="R196"/>
  <c r="P196"/>
  <c r="S196" s="1"/>
  <c r="N196"/>
  <c r="L196"/>
  <c r="V196" s="1" a="1"/>
  <c r="V196" s="1"/>
  <c r="K196"/>
  <c r="V195"/>
  <c r="R195"/>
  <c r="P195"/>
  <c r="S195" s="1"/>
  <c r="N195"/>
  <c r="L195"/>
  <c r="V195" s="1" a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N189"/>
  <c r="K189"/>
  <c r="I189"/>
  <c r="P189" s="1"/>
  <c r="R188"/>
  <c r="N188"/>
  <c r="P188" s="1"/>
  <c r="L188"/>
  <c r="K188"/>
  <c r="R187"/>
  <c r="S187" s="1"/>
  <c r="N187"/>
  <c r="P187" s="1"/>
  <c r="L187"/>
  <c r="K187"/>
  <c r="R186"/>
  <c r="N186"/>
  <c r="P186" s="1"/>
  <c r="L186"/>
  <c r="K186"/>
  <c r="R185"/>
  <c r="S185" s="1"/>
  <c r="N185"/>
  <c r="P185" s="1"/>
  <c r="L185"/>
  <c r="K185"/>
  <c r="R184"/>
  <c r="N184"/>
  <c r="P184" s="1"/>
  <c r="L184"/>
  <c r="K184"/>
  <c r="R183"/>
  <c r="S183" s="1"/>
  <c r="N183"/>
  <c r="P183" s="1"/>
  <c r="L183"/>
  <c r="K183"/>
  <c r="R182"/>
  <c r="N182"/>
  <c r="P182" s="1"/>
  <c r="L182"/>
  <c r="K182"/>
  <c r="R181"/>
  <c r="S181" s="1"/>
  <c r="N181"/>
  <c r="P181" s="1"/>
  <c r="L181"/>
  <c r="K181"/>
  <c r="R180"/>
  <c r="N180"/>
  <c r="P180" s="1"/>
  <c r="L180"/>
  <c r="K180"/>
  <c r="R179"/>
  <c r="S179" s="1"/>
  <c r="N179"/>
  <c r="P179" s="1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L17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L151"/>
  <c r="K151"/>
  <c r="R150"/>
  <c r="N150"/>
  <c r="P150" s="1"/>
  <c r="L150"/>
  <c r="K150"/>
  <c r="R149"/>
  <c r="N149"/>
  <c r="P149" s="1"/>
  <c r="L149"/>
  <c r="K149"/>
  <c r="V149" s="1" a="1"/>
  <c r="V149" s="1"/>
  <c r="R148"/>
  <c r="N148"/>
  <c r="P148" s="1"/>
  <c r="L148"/>
  <c r="K148"/>
  <c r="V148" s="1" a="1"/>
  <c r="V148" s="1"/>
  <c r="R147"/>
  <c r="N147"/>
  <c r="P147" s="1"/>
  <c r="L147"/>
  <c r="K147"/>
  <c r="V147" s="1" a="1"/>
  <c r="V147" s="1"/>
  <c r="R146"/>
  <c r="N146"/>
  <c r="P146" s="1"/>
  <c r="L146"/>
  <c r="K146"/>
  <c r="V146" s="1" a="1"/>
  <c r="V146" s="1"/>
  <c r="R145"/>
  <c r="N145"/>
  <c r="P145" s="1"/>
  <c r="L145"/>
  <c r="K145"/>
  <c r="R144"/>
  <c r="N144"/>
  <c r="P144" s="1"/>
  <c r="L144"/>
  <c r="K144"/>
  <c r="R143"/>
  <c r="N143"/>
  <c r="P143" s="1"/>
  <c r="L143"/>
  <c r="K143"/>
  <c r="V143" s="1" a="1"/>
  <c r="V143" s="1"/>
  <c r="R142"/>
  <c r="N142"/>
  <c r="P142" s="1"/>
  <c r="L142"/>
  <c r="K142"/>
  <c r="V142" s="1" a="1"/>
  <c r="V142" s="1"/>
  <c r="R141"/>
  <c r="N141"/>
  <c r="P141" s="1"/>
  <c r="L141"/>
  <c r="K141"/>
  <c r="V141" s="1" a="1"/>
  <c r="V141" s="1"/>
  <c r="R140"/>
  <c r="N140"/>
  <c r="P140" s="1"/>
  <c r="L140"/>
  <c r="K140"/>
  <c r="V140" s="1" a="1"/>
  <c r="V140" s="1"/>
  <c r="R139"/>
  <c r="N139"/>
  <c r="P139" s="1"/>
  <c r="L139"/>
  <c r="K139"/>
  <c r="V139" s="1" a="1"/>
  <c r="V139" s="1"/>
  <c r="R138"/>
  <c r="N138"/>
  <c r="P138" s="1"/>
  <c r="L138"/>
  <c r="K138"/>
  <c r="V138" s="1" a="1"/>
  <c r="V138" s="1"/>
  <c r="R137"/>
  <c r="N137"/>
  <c r="P137" s="1"/>
  <c r="L137"/>
  <c r="K137"/>
  <c r="V137" s="1" a="1"/>
  <c r="V137" s="1"/>
  <c r="R136"/>
  <c r="N136"/>
  <c r="P136" s="1"/>
  <c r="L136"/>
  <c r="K136"/>
  <c r="V136" s="1" a="1"/>
  <c r="V136" s="1"/>
  <c r="R135"/>
  <c r="N135"/>
  <c r="P135" s="1"/>
  <c r="L135"/>
  <c r="K135"/>
  <c r="V135" s="1" a="1"/>
  <c r="V135" s="1"/>
  <c r="R134"/>
  <c r="N134"/>
  <c r="P134" s="1"/>
  <c r="L134"/>
  <c r="K134"/>
  <c r="V134" s="1" a="1"/>
  <c r="V134" s="1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V112" s="1" a="1"/>
  <c r="V112" s="1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V100" s="1" a="1"/>
  <c r="V100" s="1"/>
  <c r="R99"/>
  <c r="N99"/>
  <c r="K99"/>
  <c r="I99"/>
  <c r="L99" s="1"/>
  <c r="R98"/>
  <c r="P98"/>
  <c r="S98" s="1"/>
  <c r="N98"/>
  <c r="L98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K95"/>
  <c r="R94"/>
  <c r="N94"/>
  <c r="P94" s="1"/>
  <c r="L94"/>
  <c r="K94"/>
  <c r="R93"/>
  <c r="N93"/>
  <c r="P93" s="1"/>
  <c r="L93"/>
  <c r="K93"/>
  <c r="V93" s="1" a="1"/>
  <c r="V93" s="1"/>
  <c r="R92"/>
  <c r="N92"/>
  <c r="P92" s="1"/>
  <c r="L92"/>
  <c r="K92"/>
  <c r="V92" s="1" a="1"/>
  <c r="V92" s="1"/>
  <c r="R91"/>
  <c r="N91"/>
  <c r="P91" s="1"/>
  <c r="L91"/>
  <c r="K91"/>
  <c r="V91" s="1" a="1"/>
  <c r="V91" s="1"/>
  <c r="R90"/>
  <c r="N90"/>
  <c r="P90" s="1"/>
  <c r="L90"/>
  <c r="K90"/>
  <c r="V90" s="1" a="1"/>
  <c r="V90" s="1"/>
  <c r="R89"/>
  <c r="N89"/>
  <c r="P89" s="1"/>
  <c r="L89"/>
  <c r="K89"/>
  <c r="V89" s="1" a="1"/>
  <c r="V89" s="1"/>
  <c r="R88"/>
  <c r="N88"/>
  <c r="P88" s="1"/>
  <c r="L88"/>
  <c r="K88"/>
  <c r="V88" s="1" a="1"/>
  <c r="V88" s="1"/>
  <c r="R87"/>
  <c r="N87"/>
  <c r="P87" s="1"/>
  <c r="L87"/>
  <c r="K87"/>
  <c r="R86"/>
  <c r="N86"/>
  <c r="P86" s="1"/>
  <c r="L86"/>
  <c r="K86"/>
  <c r="R85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N82"/>
  <c r="P82" s="1"/>
  <c r="L82"/>
  <c r="K82"/>
  <c r="V82" s="1" a="1"/>
  <c r="V82" s="1"/>
  <c r="R81"/>
  <c r="N81"/>
  <c r="P81" s="1"/>
  <c r="L81"/>
  <c r="K81"/>
  <c r="R80"/>
  <c r="N80"/>
  <c r="P80" s="1"/>
  <c r="L80"/>
  <c r="K80"/>
  <c r="V80" s="1" a="1"/>
  <c r="V80" s="1"/>
  <c r="R79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N75"/>
  <c r="P75" s="1"/>
  <c r="L75"/>
  <c r="K75"/>
  <c r="V75" s="1" a="1"/>
  <c r="V75" s="1"/>
  <c r="R74"/>
  <c r="N74"/>
  <c r="P74" s="1"/>
  <c r="L74"/>
  <c r="K74"/>
  <c r="V74" s="1" a="1"/>
  <c r="V74" s="1"/>
  <c r="R73"/>
  <c r="N73"/>
  <c r="P73" s="1"/>
  <c r="L73"/>
  <c r="K73"/>
  <c r="V73" s="1" a="1"/>
  <c r="V73" s="1"/>
  <c r="R72"/>
  <c r="N72"/>
  <c r="P72" s="1"/>
  <c r="L72"/>
  <c r="K72"/>
  <c r="V72" s="1" a="1"/>
  <c r="V72" s="1"/>
  <c r="R7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K27"/>
  <c r="I27"/>
  <c r="I199" s="1" a="1"/>
  <c r="I199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N6"/>
  <c r="P6" s="1"/>
  <c r="L6"/>
  <c r="K6"/>
  <c r="C451" i="46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V198" s="1" a="1"/>
  <c r="V198" s="1"/>
  <c r="R197"/>
  <c r="N197"/>
  <c r="P197" s="1"/>
  <c r="L197"/>
  <c r="K197"/>
  <c r="V197" s="1" a="1"/>
  <c r="V197" s="1"/>
  <c r="R196"/>
  <c r="N196"/>
  <c r="P196" s="1"/>
  <c r="L196"/>
  <c r="K196"/>
  <c r="V196" s="1" a="1"/>
  <c r="V196" s="1"/>
  <c r="R195"/>
  <c r="N195"/>
  <c r="P195" s="1"/>
  <c r="L195"/>
  <c r="K195"/>
  <c r="V195" s="1" a="1"/>
  <c r="V195" s="1"/>
  <c r="R194"/>
  <c r="N194"/>
  <c r="P194" s="1"/>
  <c r="L194"/>
  <c r="K194"/>
  <c r="R193"/>
  <c r="N193"/>
  <c r="P193" s="1"/>
  <c r="L193"/>
  <c r="K193"/>
  <c r="R192"/>
  <c r="N192"/>
  <c r="P192" s="1"/>
  <c r="L192"/>
  <c r="K192"/>
  <c r="R191"/>
  <c r="N191"/>
  <c r="P191" s="1"/>
  <c r="L191"/>
  <c r="K191"/>
  <c r="R190"/>
  <c r="N190"/>
  <c r="P190" s="1"/>
  <c r="L190"/>
  <c r="K190"/>
  <c r="V190" s="1" a="1"/>
  <c r="V190" s="1"/>
  <c r="R189"/>
  <c r="N189"/>
  <c r="P189" s="1"/>
  <c r="L189"/>
  <c r="K189"/>
  <c r="V189" s="1" a="1"/>
  <c r="V189" s="1"/>
  <c r="R188"/>
  <c r="N188"/>
  <c r="P188" s="1"/>
  <c r="L188"/>
  <c r="K188"/>
  <c r="V188" s="1" a="1"/>
  <c r="V188" s="1"/>
  <c r="R187"/>
  <c r="N187"/>
  <c r="P187" s="1"/>
  <c r="L187"/>
  <c r="K187"/>
  <c r="V187" s="1" a="1"/>
  <c r="V187" s="1"/>
  <c r="R186"/>
  <c r="N186"/>
  <c r="P186" s="1"/>
  <c r="L186"/>
  <c r="K186"/>
  <c r="V186" s="1" a="1"/>
  <c r="V186" s="1"/>
  <c r="R185"/>
  <c r="N185"/>
  <c r="P185" s="1"/>
  <c r="L185"/>
  <c r="K185"/>
  <c r="V185" s="1" a="1"/>
  <c r="V185" s="1"/>
  <c r="R184"/>
  <c r="N184"/>
  <c r="P184" s="1"/>
  <c r="L184"/>
  <c r="K184"/>
  <c r="V184" s="1" a="1"/>
  <c r="V184" s="1"/>
  <c r="R183"/>
  <c r="N183"/>
  <c r="P183" s="1"/>
  <c r="L183"/>
  <c r="K183"/>
  <c r="V183" s="1" a="1"/>
  <c r="V183" s="1"/>
  <c r="R182"/>
  <c r="N182"/>
  <c r="P182" s="1"/>
  <c r="L182"/>
  <c r="K182"/>
  <c r="V182" s="1" a="1"/>
  <c r="V182" s="1"/>
  <c r="R181"/>
  <c r="N181"/>
  <c r="P181" s="1"/>
  <c r="L181"/>
  <c r="K181"/>
  <c r="V181" s="1" a="1"/>
  <c r="V181" s="1"/>
  <c r="R180"/>
  <c r="N180"/>
  <c r="P180" s="1"/>
  <c r="L180"/>
  <c r="K180"/>
  <c r="V180" s="1" a="1"/>
  <c r="V180" s="1"/>
  <c r="R179"/>
  <c r="N179"/>
  <c r="P179" s="1"/>
  <c r="L179"/>
  <c r="K179"/>
  <c r="V179" s="1" a="1"/>
  <c r="V179" s="1"/>
  <c r="R178"/>
  <c r="N178"/>
  <c r="P178" s="1"/>
  <c r="L178"/>
  <c r="K178"/>
  <c r="V178" s="1" a="1"/>
  <c r="V178" s="1"/>
  <c r="R177"/>
  <c r="N177"/>
  <c r="P177" s="1"/>
  <c r="L177"/>
  <c r="K177"/>
  <c r="V177" s="1" a="1"/>
  <c r="V177" s="1"/>
  <c r="R176"/>
  <c r="N176"/>
  <c r="P176" s="1"/>
  <c r="L176"/>
  <c r="K176"/>
  <c r="V176" s="1" a="1"/>
  <c r="V176" s="1"/>
  <c r="R175"/>
  <c r="N175"/>
  <c r="P175" s="1"/>
  <c r="L175"/>
  <c r="K175"/>
  <c r="V175" s="1" a="1"/>
  <c r="V175" s="1"/>
  <c r="R174"/>
  <c r="N174"/>
  <c r="P174" s="1"/>
  <c r="L174"/>
  <c r="K174"/>
  <c r="V174" s="1" a="1"/>
  <c r="V174" s="1"/>
  <c r="R173"/>
  <c r="N173"/>
  <c r="P173" s="1"/>
  <c r="L173"/>
  <c r="K173"/>
  <c r="V173" s="1" a="1"/>
  <c r="V173" s="1"/>
  <c r="R172"/>
  <c r="N172"/>
  <c r="P172" s="1"/>
  <c r="L172"/>
  <c r="K172"/>
  <c r="V172" s="1" a="1"/>
  <c r="V172" s="1"/>
  <c r="R171"/>
  <c r="N171"/>
  <c r="P171" s="1"/>
  <c r="L171"/>
  <c r="K171"/>
  <c r="V171" s="1" a="1"/>
  <c r="V171" s="1"/>
  <c r="R170"/>
  <c r="N170"/>
  <c r="P170" s="1"/>
  <c r="L170"/>
  <c r="K170"/>
  <c r="V170" s="1" a="1"/>
  <c r="V170" s="1"/>
  <c r="R169"/>
  <c r="N169"/>
  <c r="P169" s="1"/>
  <c r="L169"/>
  <c r="K169"/>
  <c r="V169" s="1" a="1"/>
  <c r="V169" s="1"/>
  <c r="R168"/>
  <c r="N168"/>
  <c r="P168" s="1"/>
  <c r="L168"/>
  <c r="K168"/>
  <c r="V168" s="1" a="1"/>
  <c r="V168" s="1"/>
  <c r="R167"/>
  <c r="N167"/>
  <c r="P167" s="1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L151"/>
  <c r="K151"/>
  <c r="R150"/>
  <c r="N150"/>
  <c r="P150" s="1"/>
  <c r="L150"/>
  <c r="K150"/>
  <c r="R149"/>
  <c r="N149"/>
  <c r="P149" s="1"/>
  <c r="L149"/>
  <c r="K149"/>
  <c r="V149" s="1" a="1"/>
  <c r="V149" s="1"/>
  <c r="R148"/>
  <c r="N148"/>
  <c r="P148" s="1"/>
  <c r="L148"/>
  <c r="K148"/>
  <c r="V148" s="1" a="1"/>
  <c r="V148" s="1"/>
  <c r="R147"/>
  <c r="N147"/>
  <c r="P147" s="1"/>
  <c r="L147"/>
  <c r="K147"/>
  <c r="V147" s="1" a="1"/>
  <c r="V147" s="1"/>
  <c r="R146"/>
  <c r="N146"/>
  <c r="P146" s="1"/>
  <c r="L146"/>
  <c r="K146"/>
  <c r="V146" s="1" a="1"/>
  <c r="V146" s="1"/>
  <c r="R145"/>
  <c r="N145"/>
  <c r="P145" s="1"/>
  <c r="L145"/>
  <c r="K145"/>
  <c r="R144"/>
  <c r="N144"/>
  <c r="P144" s="1"/>
  <c r="L144"/>
  <c r="K144"/>
  <c r="R143"/>
  <c r="N143"/>
  <c r="P143" s="1"/>
  <c r="L143"/>
  <c r="K143"/>
  <c r="V143" s="1" a="1"/>
  <c r="V143" s="1"/>
  <c r="R142"/>
  <c r="N142"/>
  <c r="P142" s="1"/>
  <c r="L142"/>
  <c r="K142"/>
  <c r="V142" s="1" a="1"/>
  <c r="V142" s="1"/>
  <c r="R141"/>
  <c r="N141"/>
  <c r="P141" s="1"/>
  <c r="L141"/>
  <c r="K141"/>
  <c r="V141" s="1" a="1"/>
  <c r="V141" s="1"/>
  <c r="R140"/>
  <c r="N140"/>
  <c r="P140" s="1"/>
  <c r="L140"/>
  <c r="K140"/>
  <c r="V140" s="1" a="1"/>
  <c r="V140" s="1"/>
  <c r="R139"/>
  <c r="N139"/>
  <c r="P139" s="1"/>
  <c r="L139"/>
  <c r="K139"/>
  <c r="V139" s="1" a="1"/>
  <c r="V139" s="1"/>
  <c r="R138"/>
  <c r="N138"/>
  <c r="P138" s="1"/>
  <c r="L138"/>
  <c r="K138"/>
  <c r="V138" s="1" a="1"/>
  <c r="V138" s="1"/>
  <c r="R137"/>
  <c r="N137"/>
  <c r="P137" s="1"/>
  <c r="L137"/>
  <c r="K137"/>
  <c r="V137" s="1" a="1"/>
  <c r="V137" s="1"/>
  <c r="R136"/>
  <c r="N136"/>
  <c r="P136" s="1"/>
  <c r="L136"/>
  <c r="K136"/>
  <c r="V136" s="1" a="1"/>
  <c r="V136" s="1"/>
  <c r="R135"/>
  <c r="N135"/>
  <c r="P135" s="1"/>
  <c r="L135"/>
  <c r="K135"/>
  <c r="V135" s="1" a="1"/>
  <c r="V135" s="1"/>
  <c r="R134"/>
  <c r="N134"/>
  <c r="P134" s="1"/>
  <c r="L134"/>
  <c r="K134"/>
  <c r="V134" s="1" a="1"/>
  <c r="V134" s="1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V112" s="1" a="1"/>
  <c r="V112" s="1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S102" s="1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S100" s="1"/>
  <c r="N100"/>
  <c r="P100" s="1"/>
  <c r="L100"/>
  <c r="K100"/>
  <c r="V100" s="1" a="1"/>
  <c r="V100" s="1"/>
  <c r="R99"/>
  <c r="N99"/>
  <c r="P99" s="1"/>
  <c r="L99"/>
  <c r="K99"/>
  <c r="V99" s="1" a="1"/>
  <c r="V99" s="1"/>
  <c r="R98"/>
  <c r="S98" s="1"/>
  <c r="N98"/>
  <c r="P98" s="1"/>
  <c r="L98"/>
  <c r="K98"/>
  <c r="V98" s="1" a="1"/>
  <c r="V98" s="1"/>
  <c r="R97"/>
  <c r="N97"/>
  <c r="P97" s="1"/>
  <c r="L97"/>
  <c r="K97"/>
  <c r="V97" s="1" a="1"/>
  <c r="V97" s="1"/>
  <c r="R96"/>
  <c r="S96" s="1"/>
  <c r="N96"/>
  <c r="P96" s="1"/>
  <c r="L96"/>
  <c r="K96"/>
  <c r="V96" s="1" a="1"/>
  <c r="V96" s="1"/>
  <c r="R95"/>
  <c r="N95"/>
  <c r="P95" s="1"/>
  <c r="L95"/>
  <c r="K95"/>
  <c r="V95" s="1" a="1"/>
  <c r="V95" s="1"/>
  <c r="R94"/>
  <c r="S94" s="1"/>
  <c r="N94"/>
  <c r="P94" s="1"/>
  <c r="L94"/>
  <c r="K94"/>
  <c r="V94" s="1" a="1"/>
  <c r="V94" s="1"/>
  <c r="R93"/>
  <c r="N93"/>
  <c r="P93" s="1"/>
  <c r="L93"/>
  <c r="K93"/>
  <c r="V93" s="1" a="1"/>
  <c r="V93" s="1"/>
  <c r="R92"/>
  <c r="S92" s="1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23" s="1"/>
  <c r="C451" i="46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6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23" s="1"/>
  <c r="C451" i="46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S407" s="1"/>
  <c r="N407"/>
  <c r="L407"/>
  <c r="V407" s="1" a="1"/>
  <c r="V407" s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AA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V127"/>
  <c r="R127"/>
  <c r="P127"/>
  <c r="S127" s="1"/>
  <c r="N127"/>
  <c r="L127"/>
  <c r="V127" s="1" a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V120"/>
  <c r="R120"/>
  <c r="P120"/>
  <c r="S120" s="1"/>
  <c r="N120"/>
  <c r="L120"/>
  <c r="V120" s="1" a="1"/>
  <c r="K120"/>
  <c r="R119"/>
  <c r="P119"/>
  <c r="S119" s="1"/>
  <c r="N119"/>
  <c r="L119"/>
  <c r="V119" s="1" a="1"/>
  <c r="V119" s="1"/>
  <c r="K119"/>
  <c r="V118"/>
  <c r="R118"/>
  <c r="P118"/>
  <c r="S118" s="1"/>
  <c r="N118"/>
  <c r="L118"/>
  <c r="V118" s="1" a="1"/>
  <c r="K118"/>
  <c r="R117"/>
  <c r="P117"/>
  <c r="S117" s="1"/>
  <c r="N117"/>
  <c r="L117"/>
  <c r="V117" s="1" a="1"/>
  <c r="V117" s="1"/>
  <c r="K117"/>
  <c r="V116"/>
  <c r="R116"/>
  <c r="P116"/>
  <c r="S116" s="1"/>
  <c r="N116"/>
  <c r="L116"/>
  <c r="V116" s="1" a="1"/>
  <c r="K116"/>
  <c r="R115"/>
  <c r="P115"/>
  <c r="S115" s="1"/>
  <c r="N115"/>
  <c r="L115"/>
  <c r="V115" s="1" a="1"/>
  <c r="V115" s="1"/>
  <c r="K115"/>
  <c r="V114"/>
  <c r="R114"/>
  <c r="P114"/>
  <c r="S114" s="1"/>
  <c r="N114"/>
  <c r="L114"/>
  <c r="V114" s="1" a="1"/>
  <c r="K114"/>
  <c r="R113"/>
  <c r="P113"/>
  <c r="S113" s="1"/>
  <c r="N113"/>
  <c r="L113"/>
  <c r="V113" s="1" a="1"/>
  <c r="V113" s="1"/>
  <c r="K113"/>
  <c r="V112"/>
  <c r="R112"/>
  <c r="P112"/>
  <c r="S112" s="1"/>
  <c r="N112"/>
  <c r="L112"/>
  <c r="V112" s="1" a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V107"/>
  <c r="R107"/>
  <c r="P107"/>
  <c r="S107" s="1"/>
  <c r="N107"/>
  <c r="L107"/>
  <c r="V107" s="1" a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V102"/>
  <c r="R102"/>
  <c r="P102"/>
  <c r="S102" s="1"/>
  <c r="N102"/>
  <c r="L102"/>
  <c r="V102" s="1" a="1"/>
  <c r="K102"/>
  <c r="R101"/>
  <c r="P101"/>
  <c r="S101" s="1"/>
  <c r="N101"/>
  <c r="L101"/>
  <c r="V101" s="1" a="1"/>
  <c r="V101" s="1"/>
  <c r="K101"/>
  <c r="V100"/>
  <c r="R100"/>
  <c r="P100"/>
  <c r="S100" s="1"/>
  <c r="N100"/>
  <c r="L100"/>
  <c r="V100" s="1" a="1"/>
  <c r="K100"/>
  <c r="R99"/>
  <c r="P99"/>
  <c r="S99" s="1"/>
  <c r="N99"/>
  <c r="L99"/>
  <c r="V99" s="1" a="1"/>
  <c r="V99" s="1"/>
  <c r="K99"/>
  <c r="V98"/>
  <c r="R98"/>
  <c r="P98"/>
  <c r="S98" s="1"/>
  <c r="N98"/>
  <c r="L98"/>
  <c r="V98" s="1" a="1"/>
  <c r="K98"/>
  <c r="R97"/>
  <c r="P97"/>
  <c r="S97" s="1"/>
  <c r="N97"/>
  <c r="L97"/>
  <c r="V97" s="1" a="1"/>
  <c r="V97" s="1"/>
  <c r="K97"/>
  <c r="V96"/>
  <c r="R96"/>
  <c r="P96"/>
  <c r="S96" s="1"/>
  <c r="N96"/>
  <c r="L96"/>
  <c r="V96" s="1" a="1"/>
  <c r="K96"/>
  <c r="R95"/>
  <c r="P95"/>
  <c r="S95" s="1"/>
  <c r="N95"/>
  <c r="L95"/>
  <c r="V95" s="1" a="1"/>
  <c r="V95" s="1"/>
  <c r="K95"/>
  <c r="V94"/>
  <c r="R94"/>
  <c r="P94"/>
  <c r="S94" s="1"/>
  <c r="N94"/>
  <c r="L94"/>
  <c r="V94" s="1" a="1"/>
  <c r="K94"/>
  <c r="R93"/>
  <c r="P93"/>
  <c r="S93" s="1"/>
  <c r="N93"/>
  <c r="L93"/>
  <c r="V93" s="1" a="1"/>
  <c r="V93" s="1"/>
  <c r="K93"/>
  <c r="V92"/>
  <c r="R92"/>
  <c r="P92"/>
  <c r="S92" s="1"/>
  <c r="N92"/>
  <c r="L92"/>
  <c r="V92" s="1" a="1"/>
  <c r="K92"/>
  <c r="R91"/>
  <c r="P91"/>
  <c r="S91" s="1"/>
  <c r="N91"/>
  <c r="L91"/>
  <c r="V91" s="1" a="1"/>
  <c r="V91" s="1"/>
  <c r="K91"/>
  <c r="V90"/>
  <c r="R90"/>
  <c r="P90"/>
  <c r="S90" s="1"/>
  <c r="N90"/>
  <c r="L90"/>
  <c r="V90" s="1" a="1"/>
  <c r="K90"/>
  <c r="R89"/>
  <c r="P89"/>
  <c r="S89" s="1"/>
  <c r="N89"/>
  <c r="L89"/>
  <c r="V89" s="1" a="1"/>
  <c r="V89" s="1"/>
  <c r="K89"/>
  <c r="V88"/>
  <c r="R88"/>
  <c r="P88"/>
  <c r="S88" s="1"/>
  <c r="N88"/>
  <c r="L88"/>
  <c r="V88" s="1" a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K82"/>
  <c r="R81"/>
  <c r="N81"/>
  <c r="P81" s="1"/>
  <c r="L81"/>
  <c r="K81"/>
  <c r="R80"/>
  <c r="N80"/>
  <c r="P80" s="1"/>
  <c r="L80"/>
  <c r="K80"/>
  <c r="V80" s="1" a="1"/>
  <c r="V80" s="1"/>
  <c r="R79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N75"/>
  <c r="P75" s="1"/>
  <c r="L75"/>
  <c r="K75"/>
  <c r="V75" s="1" a="1"/>
  <c r="V75" s="1"/>
  <c r="R74"/>
  <c r="N74"/>
  <c r="P74" s="1"/>
  <c r="L74"/>
  <c r="K74"/>
  <c r="V74" s="1" a="1"/>
  <c r="V74" s="1"/>
  <c r="R73"/>
  <c r="N73"/>
  <c r="P73" s="1"/>
  <c r="L73"/>
  <c r="K73"/>
  <c r="V73" s="1" a="1"/>
  <c r="V73" s="1"/>
  <c r="R72"/>
  <c r="N72"/>
  <c r="P72" s="1"/>
  <c r="L72"/>
  <c r="K72"/>
  <c r="V72" s="1" a="1"/>
  <c r="V72" s="1"/>
  <c r="R7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46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N20"/>
  <c r="P20" s="1"/>
  <c r="S20" s="1"/>
  <c r="L20"/>
  <c r="V20" s="1" a="1"/>
  <c r="V20" s="1"/>
  <c r="K20"/>
  <c r="R19"/>
  <c r="N19"/>
  <c r="P19" s="1"/>
  <c r="L19"/>
  <c r="V19" s="1" a="1"/>
  <c r="V19" s="1"/>
  <c r="K19"/>
  <c r="R18"/>
  <c r="N18"/>
  <c r="P18" s="1"/>
  <c r="L18"/>
  <c r="V18" s="1" a="1"/>
  <c r="V18" s="1"/>
  <c r="K18"/>
  <c r="R17"/>
  <c r="N17"/>
  <c r="P17" s="1"/>
  <c r="L17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23" s="1"/>
  <c r="C451" i="46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6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5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5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S407" s="1"/>
  <c r="N407"/>
  <c r="L407"/>
  <c r="V407" s="1" a="1"/>
  <c r="V407" s="1"/>
  <c r="K407"/>
  <c r="V406"/>
  <c r="R406"/>
  <c r="P406"/>
  <c r="S406" s="1"/>
  <c r="N406"/>
  <c r="L406"/>
  <c r="V406" s="1" a="1"/>
  <c r="K406"/>
  <c r="R405"/>
  <c r="P405"/>
  <c r="S405" s="1"/>
  <c r="N405"/>
  <c r="L405"/>
  <c r="V405" s="1" a="1"/>
  <c r="V405" s="1"/>
  <c r="K405"/>
  <c r="V404"/>
  <c r="R404"/>
  <c r="P404"/>
  <c r="S404" s="1"/>
  <c r="N404"/>
  <c r="L404"/>
  <c r="V404" s="1" a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R399"/>
  <c r="P399"/>
  <c r="S399" s="1"/>
  <c r="N399"/>
  <c r="L399"/>
  <c r="V399" s="1" a="1"/>
  <c r="V399" s="1"/>
  <c r="K399"/>
  <c r="V398"/>
  <c r="R398"/>
  <c r="P398"/>
  <c r="S398" s="1"/>
  <c r="N398"/>
  <c r="L398"/>
  <c r="V398" s="1" a="1"/>
  <c r="K398"/>
  <c r="R397"/>
  <c r="P397"/>
  <c r="S397" s="1"/>
  <c r="N397"/>
  <c r="L397"/>
  <c r="V397" s="1" a="1"/>
  <c r="V397" s="1"/>
  <c r="K397"/>
  <c r="V396"/>
  <c r="R396"/>
  <c r="P396"/>
  <c r="S396" s="1"/>
  <c r="N396"/>
  <c r="L396"/>
  <c r="V396" s="1" a="1"/>
  <c r="K396"/>
  <c r="R395"/>
  <c r="P395"/>
  <c r="S395" s="1"/>
  <c r="N395"/>
  <c r="L395"/>
  <c r="V395" s="1" a="1"/>
  <c r="V395" s="1"/>
  <c r="K395"/>
  <c r="V394"/>
  <c r="R394"/>
  <c r="P394"/>
  <c r="S394" s="1"/>
  <c r="N394"/>
  <c r="L394"/>
  <c r="V394" s="1" a="1"/>
  <c r="K394"/>
  <c r="R393"/>
  <c r="P393"/>
  <c r="S393" s="1"/>
  <c r="N393"/>
  <c r="L393"/>
  <c r="V393" s="1" a="1"/>
  <c r="V393" s="1"/>
  <c r="K393"/>
  <c r="V392"/>
  <c r="R392"/>
  <c r="P392"/>
  <c r="S392" s="1"/>
  <c r="N392"/>
  <c r="L392"/>
  <c r="V392" s="1" a="1"/>
  <c r="K392"/>
  <c r="R391"/>
  <c r="P391"/>
  <c r="S391" s="1"/>
  <c r="N391"/>
  <c r="L391"/>
  <c r="V391" s="1" a="1"/>
  <c r="V391" s="1"/>
  <c r="K391"/>
  <c r="V390"/>
  <c r="R390"/>
  <c r="P390"/>
  <c r="S390" s="1"/>
  <c r="N390"/>
  <c r="L390"/>
  <c r="V390" s="1" a="1"/>
  <c r="K390"/>
  <c r="R389"/>
  <c r="P389"/>
  <c r="S389" s="1"/>
  <c r="N389"/>
  <c r="L389"/>
  <c r="V389" s="1" a="1"/>
  <c r="V389" s="1"/>
  <c r="K389"/>
  <c r="V388"/>
  <c r="R388"/>
  <c r="P388"/>
  <c r="S388" s="1"/>
  <c r="N388"/>
  <c r="L388"/>
  <c r="V388" s="1" a="1"/>
  <c r="K388"/>
  <c r="R387"/>
  <c r="P387"/>
  <c r="S387" s="1"/>
  <c r="N387"/>
  <c r="L387"/>
  <c r="V387" s="1" a="1"/>
  <c r="V387" s="1"/>
  <c r="K387"/>
  <c r="V386"/>
  <c r="R386"/>
  <c r="P386"/>
  <c r="S386" s="1"/>
  <c r="N386"/>
  <c r="L386"/>
  <c r="V386" s="1" a="1"/>
  <c r="K386"/>
  <c r="R385"/>
  <c r="P385"/>
  <c r="S385" s="1"/>
  <c r="N385"/>
  <c r="L385"/>
  <c r="V385" s="1" a="1"/>
  <c r="V385" s="1"/>
  <c r="K385"/>
  <c r="V384"/>
  <c r="R384"/>
  <c r="P384"/>
  <c r="S384" s="1"/>
  <c r="N384"/>
  <c r="L384"/>
  <c r="V384" s="1" a="1"/>
  <c r="K384"/>
  <c r="R383"/>
  <c r="P383"/>
  <c r="S383" s="1"/>
  <c r="N383"/>
  <c r="L383"/>
  <c r="V383" s="1" a="1"/>
  <c r="V383" s="1"/>
  <c r="K383"/>
  <c r="V382"/>
  <c r="R382"/>
  <c r="P382"/>
  <c r="S382" s="1"/>
  <c r="N382"/>
  <c r="L382"/>
  <c r="V382" s="1" a="1"/>
  <c r="K382"/>
  <c r="R381"/>
  <c r="P381"/>
  <c r="S381" s="1"/>
  <c r="N381"/>
  <c r="L381"/>
  <c r="V381" s="1" a="1"/>
  <c r="V381" s="1"/>
  <c r="K381"/>
  <c r="V380"/>
  <c r="R380"/>
  <c r="P380"/>
  <c r="S380" s="1"/>
  <c r="N380"/>
  <c r="L380"/>
  <c r="V380" s="1" a="1"/>
  <c r="K380"/>
  <c r="R379"/>
  <c r="P379"/>
  <c r="S379" s="1"/>
  <c r="N379"/>
  <c r="L379"/>
  <c r="V379" s="1" a="1"/>
  <c r="V379" s="1"/>
  <c r="K379"/>
  <c r="V378"/>
  <c r="R378"/>
  <c r="P378"/>
  <c r="S378" s="1"/>
  <c r="N378"/>
  <c r="L378"/>
  <c r="V378" s="1" a="1"/>
  <c r="K378"/>
  <c r="R377"/>
  <c r="P377"/>
  <c r="S377" s="1"/>
  <c r="N377"/>
  <c r="L377"/>
  <c r="V377" s="1" a="1"/>
  <c r="V377" s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U210"/>
  <c r="Y210" s="1"/>
  <c r="S210"/>
  <c r="W210" s="1"/>
  <c r="Y209"/>
  <c r="W209"/>
  <c r="AA209" s="1"/>
  <c r="Y208"/>
  <c r="AA208" s="1"/>
  <c r="W208"/>
  <c r="K208"/>
  <c r="C428" s="1"/>
  <c r="Y207"/>
  <c r="AA207" s="1"/>
  <c r="W207"/>
  <c r="K207"/>
  <c r="C427" s="1"/>
  <c r="Y206"/>
  <c r="AA206" s="1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K203" a="1"/>
  <c r="K203" s="1"/>
  <c r="I203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V197"/>
  <c r="R197"/>
  <c r="P197"/>
  <c r="S197" s="1"/>
  <c r="N197"/>
  <c r="L197"/>
  <c r="V197" s="1" a="1"/>
  <c r="K197"/>
  <c r="R196"/>
  <c r="P196"/>
  <c r="S196" s="1"/>
  <c r="N196"/>
  <c r="L196"/>
  <c r="V196" s="1" a="1"/>
  <c r="V196" s="1"/>
  <c r="K196"/>
  <c r="V195"/>
  <c r="R195"/>
  <c r="P195"/>
  <c r="S195" s="1"/>
  <c r="N195"/>
  <c r="L195"/>
  <c r="V195" s="1" a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V189"/>
  <c r="R189"/>
  <c r="P189"/>
  <c r="S189" s="1"/>
  <c r="N189"/>
  <c r="L189"/>
  <c r="V189" s="1" a="1"/>
  <c r="K189"/>
  <c r="R188"/>
  <c r="P188"/>
  <c r="S188" s="1"/>
  <c r="N188"/>
  <c r="L188"/>
  <c r="V188" s="1" a="1"/>
  <c r="V188" s="1"/>
  <c r="K188"/>
  <c r="V187"/>
  <c r="R187"/>
  <c r="P187"/>
  <c r="S187" s="1"/>
  <c r="N187"/>
  <c r="L187"/>
  <c r="V187" s="1" a="1"/>
  <c r="K187"/>
  <c r="R186"/>
  <c r="P186"/>
  <c r="S186" s="1"/>
  <c r="N186"/>
  <c r="L186"/>
  <c r="V186" s="1" a="1"/>
  <c r="V186" s="1"/>
  <c r="K186"/>
  <c r="V185"/>
  <c r="R185"/>
  <c r="P185"/>
  <c r="S185" s="1"/>
  <c r="N185"/>
  <c r="L185"/>
  <c r="V185" s="1" a="1"/>
  <c r="K185"/>
  <c r="R184"/>
  <c r="P184"/>
  <c r="S184" s="1"/>
  <c r="N184"/>
  <c r="L184"/>
  <c r="V184" s="1" a="1"/>
  <c r="V184" s="1"/>
  <c r="K184"/>
  <c r="V183"/>
  <c r="R183"/>
  <c r="P183"/>
  <c r="S183" s="1"/>
  <c r="N183"/>
  <c r="L183"/>
  <c r="V183" s="1" a="1"/>
  <c r="K183"/>
  <c r="R182"/>
  <c r="P182"/>
  <c r="S182" s="1"/>
  <c r="N182"/>
  <c r="L182"/>
  <c r="V182" s="1" a="1"/>
  <c r="V182" s="1"/>
  <c r="K182"/>
  <c r="V181"/>
  <c r="R181"/>
  <c r="P181"/>
  <c r="S181" s="1"/>
  <c r="N181"/>
  <c r="L181"/>
  <c r="V181" s="1" a="1"/>
  <c r="K181"/>
  <c r="R180"/>
  <c r="P180"/>
  <c r="S180" s="1"/>
  <c r="N180"/>
  <c r="L180"/>
  <c r="V180" s="1" a="1"/>
  <c r="V180" s="1"/>
  <c r="K180"/>
  <c r="V179"/>
  <c r="R179"/>
  <c r="P179"/>
  <c r="S179" s="1"/>
  <c r="N179"/>
  <c r="L179"/>
  <c r="V179" s="1" a="1"/>
  <c r="K179"/>
  <c r="R178"/>
  <c r="P178"/>
  <c r="S178" s="1"/>
  <c r="N178"/>
  <c r="L178"/>
  <c r="V178" s="1" a="1"/>
  <c r="V178" s="1"/>
  <c r="K178"/>
  <c r="V177"/>
  <c r="R177"/>
  <c r="P177"/>
  <c r="S177" s="1"/>
  <c r="N177"/>
  <c r="L177"/>
  <c r="V177" s="1" a="1"/>
  <c r="K177"/>
  <c r="R176"/>
  <c r="P176"/>
  <c r="S176" s="1"/>
  <c r="N176"/>
  <c r="L176"/>
  <c r="V176" s="1" a="1"/>
  <c r="V176" s="1"/>
  <c r="K176"/>
  <c r="V175"/>
  <c r="R175"/>
  <c r="P175"/>
  <c r="S175" s="1"/>
  <c r="N175"/>
  <c r="L175"/>
  <c r="V175" s="1" a="1"/>
  <c r="K175"/>
  <c r="R174"/>
  <c r="P174"/>
  <c r="S174" s="1"/>
  <c r="N174"/>
  <c r="L174"/>
  <c r="V174" s="1" a="1"/>
  <c r="V174" s="1"/>
  <c r="K174"/>
  <c r="V173"/>
  <c r="R173"/>
  <c r="P173"/>
  <c r="S173" s="1"/>
  <c r="N173"/>
  <c r="L173"/>
  <c r="V173" s="1" a="1"/>
  <c r="K173"/>
  <c r="R172"/>
  <c r="P172"/>
  <c r="S172" s="1"/>
  <c r="N172"/>
  <c r="L172"/>
  <c r="V172" s="1" a="1"/>
  <c r="V172" s="1"/>
  <c r="K172"/>
  <c r="V171"/>
  <c r="R171"/>
  <c r="P171"/>
  <c r="S171" s="1"/>
  <c r="N171"/>
  <c r="L171"/>
  <c r="V171" s="1" a="1"/>
  <c r="K171"/>
  <c r="R170"/>
  <c r="P170"/>
  <c r="S170" s="1"/>
  <c r="N170"/>
  <c r="L170"/>
  <c r="V170" s="1" a="1"/>
  <c r="V170" s="1"/>
  <c r="K170"/>
  <c r="V169"/>
  <c r="R169"/>
  <c r="P169"/>
  <c r="S169" s="1"/>
  <c r="N169"/>
  <c r="L169"/>
  <c r="V169" s="1" a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V149"/>
  <c r="R149"/>
  <c r="P149"/>
  <c r="S149" s="1"/>
  <c r="N149"/>
  <c r="L149"/>
  <c r="V149" s="1" a="1"/>
  <c r="K149"/>
  <c r="R148"/>
  <c r="P148"/>
  <c r="S148" s="1"/>
  <c r="N148"/>
  <c r="L148"/>
  <c r="V148" s="1" a="1"/>
  <c r="V148" s="1"/>
  <c r="K148"/>
  <c r="V147"/>
  <c r="R147"/>
  <c r="P147"/>
  <c r="S147" s="1"/>
  <c r="N147"/>
  <c r="L147"/>
  <c r="V147" s="1" a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V143"/>
  <c r="R143"/>
  <c r="P143"/>
  <c r="S143" s="1"/>
  <c r="N143"/>
  <c r="L143"/>
  <c r="V143" s="1" a="1"/>
  <c r="K143"/>
  <c r="R142"/>
  <c r="P142"/>
  <c r="S142" s="1"/>
  <c r="N142"/>
  <c r="L142"/>
  <c r="V142" s="1" a="1"/>
  <c r="V142" s="1"/>
  <c r="K142"/>
  <c r="V141"/>
  <c r="R141"/>
  <c r="P141"/>
  <c r="S141" s="1"/>
  <c r="N141"/>
  <c r="L141"/>
  <c r="V141" s="1" a="1"/>
  <c r="K141"/>
  <c r="R140"/>
  <c r="P140"/>
  <c r="S140" s="1"/>
  <c r="N140"/>
  <c r="L140"/>
  <c r="V140" s="1" a="1"/>
  <c r="V140" s="1"/>
  <c r="K140"/>
  <c r="V139"/>
  <c r="R139"/>
  <c r="P139"/>
  <c r="S139" s="1"/>
  <c r="N139"/>
  <c r="L139"/>
  <c r="V139" s="1" a="1"/>
  <c r="K139"/>
  <c r="R138"/>
  <c r="P138"/>
  <c r="S138" s="1"/>
  <c r="N138"/>
  <c r="L138"/>
  <c r="V138" s="1" a="1"/>
  <c r="V138" s="1"/>
  <c r="K138"/>
  <c r="V137"/>
  <c r="R137"/>
  <c r="P137"/>
  <c r="S137" s="1"/>
  <c r="N137"/>
  <c r="L137"/>
  <c r="V137" s="1" a="1"/>
  <c r="K137"/>
  <c r="R136"/>
  <c r="P136"/>
  <c r="S136" s="1"/>
  <c r="N136"/>
  <c r="L136"/>
  <c r="V136" s="1" a="1"/>
  <c r="V136" s="1"/>
  <c r="K136"/>
  <c r="V135"/>
  <c r="R135"/>
  <c r="P135"/>
  <c r="S135" s="1"/>
  <c r="N135"/>
  <c r="L135"/>
  <c r="V135" s="1" a="1"/>
  <c r="K135"/>
  <c r="R134"/>
  <c r="P134"/>
  <c r="S134" s="1"/>
  <c r="N134"/>
  <c r="L134"/>
  <c r="V134" s="1" a="1"/>
  <c r="V134" s="1"/>
  <c r="K134"/>
  <c r="V133"/>
  <c r="R133"/>
  <c r="P133"/>
  <c r="S133" s="1"/>
  <c r="N133"/>
  <c r="L133"/>
  <c r="V133" s="1" a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V129"/>
  <c r="R129"/>
  <c r="P129"/>
  <c r="S129" s="1"/>
  <c r="N129"/>
  <c r="L129"/>
  <c r="V129" s="1" a="1"/>
  <c r="K129"/>
  <c r="R128"/>
  <c r="P128"/>
  <c r="S128" s="1"/>
  <c r="N128"/>
  <c r="L128"/>
  <c r="V128" s="1" a="1"/>
  <c r="V128" s="1"/>
  <c r="K128"/>
  <c r="V127"/>
  <c r="R127"/>
  <c r="P127"/>
  <c r="S127" s="1"/>
  <c r="N127"/>
  <c r="L127"/>
  <c r="V127" s="1" a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V120"/>
  <c r="R120"/>
  <c r="P120"/>
  <c r="S120" s="1"/>
  <c r="N120"/>
  <c r="L120"/>
  <c r="V120" s="1" a="1"/>
  <c r="K120"/>
  <c r="R119"/>
  <c r="P119"/>
  <c r="S119" s="1"/>
  <c r="N119"/>
  <c r="L119"/>
  <c r="V119" s="1" a="1"/>
  <c r="V119" s="1"/>
  <c r="K119"/>
  <c r="V118"/>
  <c r="R118"/>
  <c r="P118"/>
  <c r="S118" s="1"/>
  <c r="N118"/>
  <c r="L118"/>
  <c r="V118" s="1" a="1"/>
  <c r="K118"/>
  <c r="R117"/>
  <c r="P117"/>
  <c r="S117" s="1"/>
  <c r="N117"/>
  <c r="L117"/>
  <c r="V117" s="1" a="1"/>
  <c r="V117" s="1"/>
  <c r="K117"/>
  <c r="V116"/>
  <c r="R116"/>
  <c r="P116"/>
  <c r="S116" s="1"/>
  <c r="N116"/>
  <c r="L116"/>
  <c r="V116" s="1" a="1"/>
  <c r="K116"/>
  <c r="R115"/>
  <c r="P115"/>
  <c r="S115" s="1"/>
  <c r="N115"/>
  <c r="L115"/>
  <c r="V115" s="1" a="1"/>
  <c r="V115" s="1"/>
  <c r="K115"/>
  <c r="V114"/>
  <c r="R114"/>
  <c r="P114"/>
  <c r="S114" s="1"/>
  <c r="N114"/>
  <c r="L114"/>
  <c r="V114" s="1" a="1"/>
  <c r="K114"/>
  <c r="R113"/>
  <c r="P113"/>
  <c r="S113" s="1"/>
  <c r="N113"/>
  <c r="L113"/>
  <c r="V113" s="1" a="1"/>
  <c r="V113" s="1"/>
  <c r="K113"/>
  <c r="V112"/>
  <c r="R112"/>
  <c r="P112"/>
  <c r="S112" s="1"/>
  <c r="N112"/>
  <c r="L112"/>
  <c r="V112" s="1" a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V107"/>
  <c r="R107"/>
  <c r="P107"/>
  <c r="S107" s="1"/>
  <c r="N107"/>
  <c r="L107"/>
  <c r="V107" s="1" a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V102"/>
  <c r="R102"/>
  <c r="P102"/>
  <c r="S102" s="1"/>
  <c r="N102"/>
  <c r="L102"/>
  <c r="V102" s="1" a="1"/>
  <c r="K102"/>
  <c r="R101"/>
  <c r="P101"/>
  <c r="S101" s="1"/>
  <c r="N101"/>
  <c r="L101"/>
  <c r="V101" s="1" a="1"/>
  <c r="V101" s="1"/>
  <c r="K101"/>
  <c r="V100"/>
  <c r="R100"/>
  <c r="P100"/>
  <c r="S100" s="1"/>
  <c r="N100"/>
  <c r="L100"/>
  <c r="V100" s="1" a="1"/>
  <c r="K100"/>
  <c r="R99"/>
  <c r="P99"/>
  <c r="S99" s="1"/>
  <c r="N99"/>
  <c r="L99"/>
  <c r="V99" s="1" a="1"/>
  <c r="V99" s="1"/>
  <c r="K99"/>
  <c r="V98"/>
  <c r="R98"/>
  <c r="P98"/>
  <c r="S98" s="1"/>
  <c r="N98"/>
  <c r="L98"/>
  <c r="V98" s="1" a="1"/>
  <c r="K98"/>
  <c r="R97"/>
  <c r="P97"/>
  <c r="S97" s="1"/>
  <c r="N97"/>
  <c r="L97"/>
  <c r="V97" s="1" a="1"/>
  <c r="V97" s="1"/>
  <c r="K97"/>
  <c r="V96"/>
  <c r="R96"/>
  <c r="P96"/>
  <c r="S96" s="1"/>
  <c r="N96"/>
  <c r="L96"/>
  <c r="V96" s="1" a="1"/>
  <c r="K96"/>
  <c r="R95"/>
  <c r="P95"/>
  <c r="S95" s="1"/>
  <c r="N95"/>
  <c r="L95"/>
  <c r="V95" s="1" a="1"/>
  <c r="V95" s="1"/>
  <c r="K95"/>
  <c r="V94"/>
  <c r="R94"/>
  <c r="P94"/>
  <c r="S94" s="1"/>
  <c r="N94"/>
  <c r="L94"/>
  <c r="V94" s="1" a="1"/>
  <c r="K94"/>
  <c r="R93"/>
  <c r="P93"/>
  <c r="S93" s="1"/>
  <c r="N93"/>
  <c r="L93"/>
  <c r="V93" s="1" a="1"/>
  <c r="V93" s="1"/>
  <c r="K93"/>
  <c r="V92"/>
  <c r="R92"/>
  <c r="P92"/>
  <c r="S92" s="1"/>
  <c r="N92"/>
  <c r="L92"/>
  <c r="V92" s="1" a="1"/>
  <c r="K92"/>
  <c r="R91"/>
  <c r="P91"/>
  <c r="S91" s="1"/>
  <c r="N91"/>
  <c r="L91"/>
  <c r="V91" s="1" a="1"/>
  <c r="V91" s="1"/>
  <c r="K91"/>
  <c r="V90"/>
  <c r="R90"/>
  <c r="P90"/>
  <c r="S90" s="1"/>
  <c r="N90"/>
  <c r="L90"/>
  <c r="V90" s="1" a="1"/>
  <c r="K90"/>
  <c r="R89"/>
  <c r="P89"/>
  <c r="S89" s="1"/>
  <c r="N89"/>
  <c r="L89"/>
  <c r="V89" s="1" a="1"/>
  <c r="V89" s="1"/>
  <c r="K89"/>
  <c r="V88"/>
  <c r="R88"/>
  <c r="P88"/>
  <c r="S88" s="1"/>
  <c r="N88"/>
  <c r="L88"/>
  <c r="V88" s="1" a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V82"/>
  <c r="R82"/>
  <c r="P82"/>
  <c r="S82" s="1"/>
  <c r="N82"/>
  <c r="L82"/>
  <c r="V82" s="1" a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N79"/>
  <c r="P79" s="1"/>
  <c r="L79"/>
  <c r="K79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N75"/>
  <c r="P75" s="1"/>
  <c r="L75"/>
  <c r="K75"/>
  <c r="V75" s="1" a="1"/>
  <c r="V75" s="1"/>
  <c r="R74"/>
  <c r="N74"/>
  <c r="P74" s="1"/>
  <c r="L74"/>
  <c r="K74"/>
  <c r="V74" s="1" a="1"/>
  <c r="V74" s="1"/>
  <c r="R73"/>
  <c r="N73"/>
  <c r="P73" s="1"/>
  <c r="L73"/>
  <c r="K73"/>
  <c r="V73" s="1" a="1"/>
  <c r="V73" s="1"/>
  <c r="R72"/>
  <c r="N72"/>
  <c r="P72" s="1"/>
  <c r="L72"/>
  <c r="K72"/>
  <c r="V72" s="1" a="1"/>
  <c r="V72" s="1"/>
  <c r="R7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51" i="45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5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5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V168"/>
  <c r="R168"/>
  <c r="P168"/>
  <c r="S168" s="1"/>
  <c r="N168"/>
  <c r="L168"/>
  <c r="V168" s="1" a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N6"/>
  <c r="P6" s="1"/>
  <c r="L6"/>
  <c r="L199" s="1"/>
  <c r="K6"/>
  <c r="K199" s="1" a="1"/>
  <c r="K199" s="1"/>
  <c r="C451" i="45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52"/>
  <c r="U451" s="1" a="1"/>
  <c r="U451" s="1"/>
  <c r="P450"/>
  <c r="O450"/>
  <c r="N450"/>
  <c r="M450"/>
  <c r="L450"/>
  <c r="K450"/>
  <c r="I450"/>
  <c r="H450"/>
  <c r="G450"/>
  <c r="F450"/>
  <c r="E450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Y419" s="1"/>
  <c r="S419"/>
  <c r="AA417"/>
  <c r="K417"/>
  <c r="G420" s="1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S407" s="1"/>
  <c r="N407"/>
  <c r="L407"/>
  <c r="V407" s="1" a="1"/>
  <c r="V407" s="1"/>
  <c r="K407"/>
  <c r="R406"/>
  <c r="N406"/>
  <c r="P406" s="1"/>
  <c r="S406" s="1"/>
  <c r="L406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R357"/>
  <c r="N357"/>
  <c r="P357" s="1"/>
  <c r="S357" s="1"/>
  <c r="L357"/>
  <c r="K357"/>
  <c r="R356"/>
  <c r="N356"/>
  <c r="P356" s="1"/>
  <c r="S356" s="1"/>
  <c r="L356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R351"/>
  <c r="N351"/>
  <c r="P351" s="1"/>
  <c r="S351" s="1"/>
  <c r="L351"/>
  <c r="K351"/>
  <c r="R350"/>
  <c r="N350"/>
  <c r="P350" s="1"/>
  <c r="S350" s="1"/>
  <c r="L350"/>
  <c r="K350"/>
  <c r="R349"/>
  <c r="P349"/>
  <c r="S349" s="1"/>
  <c r="N349"/>
  <c r="L349"/>
  <c r="V349" s="1" a="1"/>
  <c r="V349" s="1"/>
  <c r="K349"/>
  <c r="R348"/>
  <c r="P348"/>
  <c r="S348" s="1"/>
  <c r="N348"/>
  <c r="L348"/>
  <c r="V348" s="1" a="1"/>
  <c r="V348" s="1"/>
  <c r="K348"/>
  <c r="R347"/>
  <c r="N347"/>
  <c r="P347" s="1"/>
  <c r="S347" s="1"/>
  <c r="L347"/>
  <c r="K347"/>
  <c r="R346"/>
  <c r="N346"/>
  <c r="P346" s="1"/>
  <c r="S346" s="1"/>
  <c r="L346"/>
  <c r="K346"/>
  <c r="R345"/>
  <c r="P345"/>
  <c r="S345" s="1"/>
  <c r="N345"/>
  <c r="L345"/>
  <c r="V345" s="1" a="1"/>
  <c r="V345" s="1"/>
  <c r="K345"/>
  <c r="R344"/>
  <c r="P344"/>
  <c r="S344" s="1"/>
  <c r="N344"/>
  <c r="L344"/>
  <c r="V344" s="1" a="1"/>
  <c r="V344" s="1"/>
  <c r="K344"/>
  <c r="R343"/>
  <c r="N343"/>
  <c r="P343" s="1"/>
  <c r="S343" s="1"/>
  <c r="L343"/>
  <c r="K343"/>
  <c r="R342"/>
  <c r="N342"/>
  <c r="P342" s="1"/>
  <c r="S342" s="1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R337"/>
  <c r="N337"/>
  <c r="P337" s="1"/>
  <c r="S337" s="1"/>
  <c r="L337"/>
  <c r="K337"/>
  <c r="R336"/>
  <c r="N336"/>
  <c r="P336" s="1"/>
  <c r="S336" s="1"/>
  <c r="L336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N329"/>
  <c r="P329" s="1"/>
  <c r="S329" s="1"/>
  <c r="L329"/>
  <c r="K329"/>
  <c r="R328"/>
  <c r="P328"/>
  <c r="S328" s="1"/>
  <c r="N328"/>
  <c r="L328"/>
  <c r="V328" s="1" a="1"/>
  <c r="V328" s="1"/>
  <c r="K328"/>
  <c r="R327"/>
  <c r="P327"/>
  <c r="S327" s="1"/>
  <c r="N327"/>
  <c r="L327"/>
  <c r="V327" s="1" a="1"/>
  <c r="V327" s="1"/>
  <c r="K327"/>
  <c r="R326"/>
  <c r="N326"/>
  <c r="P326" s="1"/>
  <c r="S326" s="1"/>
  <c r="L326"/>
  <c r="K326"/>
  <c r="R325"/>
  <c r="N325"/>
  <c r="P325" s="1"/>
  <c r="S325" s="1"/>
  <c r="L325"/>
  <c r="K325"/>
  <c r="R324"/>
  <c r="P324"/>
  <c r="S324" s="1"/>
  <c r="N324"/>
  <c r="L324"/>
  <c r="V324" s="1" a="1"/>
  <c r="V324" s="1"/>
  <c r="K324"/>
  <c r="R323"/>
  <c r="P323"/>
  <c r="S323" s="1"/>
  <c r="N323"/>
  <c r="L323"/>
  <c r="V323" s="1" a="1"/>
  <c r="V323" s="1"/>
  <c r="K323"/>
  <c r="R322"/>
  <c r="N322"/>
  <c r="P322" s="1"/>
  <c r="S322" s="1"/>
  <c r="L322"/>
  <c r="K322"/>
  <c r="R321"/>
  <c r="N321"/>
  <c r="P321" s="1"/>
  <c r="S321" s="1"/>
  <c r="L32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N316"/>
  <c r="P316" s="1"/>
  <c r="S316" s="1"/>
  <c r="L316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N311"/>
  <c r="P311" s="1"/>
  <c r="S311" s="1"/>
  <c r="L311"/>
  <c r="K311"/>
  <c r="R310"/>
  <c r="P310"/>
  <c r="N310"/>
  <c r="L310"/>
  <c r="V310" s="1" a="1"/>
  <c r="V310" s="1"/>
  <c r="K310"/>
  <c r="R309"/>
  <c r="P309"/>
  <c r="N309"/>
  <c r="L309"/>
  <c r="K309"/>
  <c r="R308"/>
  <c r="P308"/>
  <c r="S308" s="1"/>
  <c r="N308"/>
  <c r="L308"/>
  <c r="V308" s="1" a="1"/>
  <c r="V308" s="1"/>
  <c r="K308"/>
  <c r="R307"/>
  <c r="P307"/>
  <c r="S307" s="1"/>
  <c r="N307"/>
  <c r="L307"/>
  <c r="V307" s="1" a="1"/>
  <c r="V307" s="1"/>
  <c r="K307"/>
  <c r="R306"/>
  <c r="N306"/>
  <c r="P306" s="1"/>
  <c r="S306" s="1"/>
  <c r="L306"/>
  <c r="K306"/>
  <c r="R305"/>
  <c r="N305"/>
  <c r="P305" s="1"/>
  <c r="S305" s="1"/>
  <c r="L305"/>
  <c r="K305"/>
  <c r="R304"/>
  <c r="P304"/>
  <c r="S304" s="1"/>
  <c r="N304"/>
  <c r="L304"/>
  <c r="V304" s="1" a="1"/>
  <c r="V304" s="1"/>
  <c r="K304"/>
  <c r="R303"/>
  <c r="P303"/>
  <c r="S303" s="1"/>
  <c r="N303"/>
  <c r="L303"/>
  <c r="V303" s="1" a="1"/>
  <c r="V303" s="1"/>
  <c r="K303"/>
  <c r="R302"/>
  <c r="N302"/>
  <c r="P302" s="1"/>
  <c r="S302" s="1"/>
  <c r="L302"/>
  <c r="K302"/>
  <c r="R301"/>
  <c r="N301"/>
  <c r="P301" s="1"/>
  <c r="S301" s="1"/>
  <c r="L301"/>
  <c r="K301"/>
  <c r="R300"/>
  <c r="P300"/>
  <c r="S300" s="1"/>
  <c r="N300"/>
  <c r="L300"/>
  <c r="V300" s="1" a="1"/>
  <c r="V300" s="1"/>
  <c r="K300"/>
  <c r="R299"/>
  <c r="P299"/>
  <c r="S299" s="1"/>
  <c r="N299"/>
  <c r="L299"/>
  <c r="V299" s="1" a="1"/>
  <c r="V299" s="1"/>
  <c r="K299"/>
  <c r="R298"/>
  <c r="N298"/>
  <c r="P298" s="1"/>
  <c r="S298" s="1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P289"/>
  <c r="S289" s="1"/>
  <c r="N289"/>
  <c r="L289"/>
  <c r="V289" s="1" a="1"/>
  <c r="V289" s="1"/>
  <c r="K289"/>
  <c r="R288"/>
  <c r="P288"/>
  <c r="S288" s="1"/>
  <c r="N288"/>
  <c r="L288"/>
  <c r="V288" s="1" a="1"/>
  <c r="V288" s="1"/>
  <c r="K288"/>
  <c r="R287"/>
  <c r="N287"/>
  <c r="P287" s="1"/>
  <c r="S287" s="1"/>
  <c r="L287"/>
  <c r="K287"/>
  <c r="R286"/>
  <c r="P286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P283"/>
  <c r="N283"/>
  <c r="L283"/>
  <c r="K283"/>
  <c r="R282"/>
  <c r="P282"/>
  <c r="S282" s="1"/>
  <c r="N282"/>
  <c r="L282"/>
  <c r="V282" s="1" a="1"/>
  <c r="V282" s="1"/>
  <c r="K282"/>
  <c r="R281"/>
  <c r="N281"/>
  <c r="P281" s="1"/>
  <c r="S281" s="1"/>
  <c r="L281"/>
  <c r="K281"/>
  <c r="R280"/>
  <c r="N280"/>
  <c r="P280" s="1"/>
  <c r="S280" s="1"/>
  <c r="L280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N273"/>
  <c r="P273" s="1"/>
  <c r="S273" s="1"/>
  <c r="L273"/>
  <c r="K273"/>
  <c r="R272"/>
  <c r="P272"/>
  <c r="S272" s="1"/>
  <c r="N272"/>
  <c r="L272"/>
  <c r="V272" s="1" a="1"/>
  <c r="V272" s="1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N268"/>
  <c r="P268" s="1"/>
  <c r="S268" s="1"/>
  <c r="L268"/>
  <c r="K268"/>
  <c r="R267"/>
  <c r="N267"/>
  <c r="P267" s="1"/>
  <c r="S267" s="1"/>
  <c r="L267"/>
  <c r="K267"/>
  <c r="R266"/>
  <c r="P266"/>
  <c r="S266" s="1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P263"/>
  <c r="S263" s="1"/>
  <c r="N263"/>
  <c r="L263"/>
  <c r="V263" s="1" a="1"/>
  <c r="V263" s="1"/>
  <c r="K263"/>
  <c r="R262"/>
  <c r="P262"/>
  <c r="S262" s="1"/>
  <c r="N262"/>
  <c r="L262"/>
  <c r="V262" s="1" a="1"/>
  <c r="V262" s="1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R253"/>
  <c r="N253"/>
  <c r="P253" s="1"/>
  <c r="S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P247"/>
  <c r="N247"/>
  <c r="L247"/>
  <c r="K247"/>
  <c r="V247" s="1" a="1"/>
  <c r="V247" s="1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P237"/>
  <c r="N237"/>
  <c r="L237"/>
  <c r="K237"/>
  <c r="R236"/>
  <c r="N236"/>
  <c r="P236" s="1"/>
  <c r="S236" s="1"/>
  <c r="L236"/>
  <c r="K236"/>
  <c r="R235"/>
  <c r="P235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N227"/>
  <c r="P227" s="1"/>
  <c r="S227" s="1"/>
  <c r="L227"/>
  <c r="K227"/>
  <c r="R226"/>
  <c r="N226"/>
  <c r="P226" s="1"/>
  <c r="S226" s="1"/>
  <c r="L226"/>
  <c r="K226"/>
  <c r="R225"/>
  <c r="N225"/>
  <c r="P225" s="1"/>
  <c r="S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P221"/>
  <c r="S221" s="1"/>
  <c r="N221"/>
  <c r="L221"/>
  <c r="V221" s="1" a="1"/>
  <c r="V221" s="1"/>
  <c r="K221"/>
  <c r="R220"/>
  <c r="P220"/>
  <c r="N220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K208"/>
  <c r="C428" s="1"/>
  <c r="Y207"/>
  <c r="W207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N193"/>
  <c r="P193" s="1"/>
  <c r="L193"/>
  <c r="K193"/>
  <c r="R192"/>
  <c r="N192"/>
  <c r="P192" s="1"/>
  <c r="L192"/>
  <c r="K192"/>
  <c r="R191"/>
  <c r="N191"/>
  <c r="P191" s="1"/>
  <c r="S191" s="1"/>
  <c r="L191"/>
  <c r="K191"/>
  <c r="R190"/>
  <c r="N190"/>
  <c r="P190" s="1"/>
  <c r="L190"/>
  <c r="K190"/>
  <c r="R189"/>
  <c r="N189"/>
  <c r="P189" s="1"/>
  <c r="S189" s="1"/>
  <c r="L189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S175" s="1"/>
  <c r="L175"/>
  <c r="K175"/>
  <c r="R174"/>
  <c r="N174"/>
  <c r="P174" s="1"/>
  <c r="L174"/>
  <c r="K174"/>
  <c r="R173"/>
  <c r="N173"/>
  <c r="P173" s="1"/>
  <c r="S173" s="1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S159" s="1"/>
  <c r="L159"/>
  <c r="K159"/>
  <c r="R158"/>
  <c r="N158"/>
  <c r="P158" s="1"/>
  <c r="L158"/>
  <c r="K158"/>
  <c r="R157"/>
  <c r="N157"/>
  <c r="P157" s="1"/>
  <c r="S157" s="1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S143" s="1"/>
  <c r="L143"/>
  <c r="K143"/>
  <c r="R142"/>
  <c r="N142"/>
  <c r="P142" s="1"/>
  <c r="L142"/>
  <c r="K142"/>
  <c r="R141"/>
  <c r="N141"/>
  <c r="P141" s="1"/>
  <c r="S141" s="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S127" s="1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L121"/>
  <c r="K121"/>
  <c r="R120"/>
  <c r="N120"/>
  <c r="P120" s="1"/>
  <c r="S120" s="1"/>
  <c r="L120"/>
  <c r="K120"/>
  <c r="R119"/>
  <c r="N119"/>
  <c r="P119" s="1"/>
  <c r="L119"/>
  <c r="K119"/>
  <c r="R118"/>
  <c r="N118"/>
  <c r="P118" s="1"/>
  <c r="L118"/>
  <c r="K118"/>
  <c r="R117"/>
  <c r="N117"/>
  <c r="P117" s="1"/>
  <c r="S117" s="1"/>
  <c r="L117"/>
  <c r="K117"/>
  <c r="R116"/>
  <c r="P116"/>
  <c r="S116" s="1"/>
  <c r="N116"/>
  <c r="L116"/>
  <c r="V116" s="1" a="1"/>
  <c r="V116" s="1"/>
  <c r="K116"/>
  <c r="R115"/>
  <c r="N115"/>
  <c r="P115" s="1"/>
  <c r="L115"/>
  <c r="K115"/>
  <c r="R114"/>
  <c r="N114"/>
  <c r="P114" s="1"/>
  <c r="L114"/>
  <c r="K114"/>
  <c r="R113"/>
  <c r="N113"/>
  <c r="P113" s="1"/>
  <c r="L113"/>
  <c r="K113"/>
  <c r="R112"/>
  <c r="N112"/>
  <c r="P112" s="1"/>
  <c r="S112" s="1"/>
  <c r="L112"/>
  <c r="K112"/>
  <c r="R111"/>
  <c r="N111"/>
  <c r="P111" s="1"/>
  <c r="L111"/>
  <c r="K111"/>
  <c r="R110"/>
  <c r="N110"/>
  <c r="P110" s="1"/>
  <c r="S110" s="1"/>
  <c r="L110"/>
  <c r="K110"/>
  <c r="R109"/>
  <c r="N109"/>
  <c r="P109" s="1"/>
  <c r="S109" s="1"/>
  <c r="L109"/>
  <c r="K109"/>
  <c r="R108"/>
  <c r="P108"/>
  <c r="S108" s="1"/>
  <c r="N108"/>
  <c r="L108"/>
  <c r="K108"/>
  <c r="R107"/>
  <c r="N107"/>
  <c r="P107" s="1"/>
  <c r="L107"/>
  <c r="K107"/>
  <c r="R106"/>
  <c r="N106"/>
  <c r="P106" s="1"/>
  <c r="L106"/>
  <c r="K106"/>
  <c r="R105"/>
  <c r="N105"/>
  <c r="P105" s="1"/>
  <c r="S105" s="1"/>
  <c r="L105"/>
  <c r="K105"/>
  <c r="R104"/>
  <c r="N104"/>
  <c r="P104" s="1"/>
  <c r="L104"/>
  <c r="K104"/>
  <c r="R103"/>
  <c r="N103"/>
  <c r="P103" s="1"/>
  <c r="S103" s="1"/>
  <c r="L103"/>
  <c r="K103"/>
  <c r="R102"/>
  <c r="P102"/>
  <c r="N102"/>
  <c r="L102"/>
  <c r="V102" s="1" a="1"/>
  <c r="V102" s="1"/>
  <c r="K102"/>
  <c r="R101"/>
  <c r="N101"/>
  <c r="P101" s="1"/>
  <c r="L101"/>
  <c r="K101"/>
  <c r="R100"/>
  <c r="P100"/>
  <c r="S100" s="1"/>
  <c r="N100"/>
  <c r="L100"/>
  <c r="V100" s="1" a="1"/>
  <c r="V100" s="1"/>
  <c r="K100"/>
  <c r="R99"/>
  <c r="N99"/>
  <c r="P99" s="1"/>
  <c r="L99"/>
  <c r="K99"/>
  <c r="R98"/>
  <c r="N98"/>
  <c r="P98" s="1"/>
  <c r="L98"/>
  <c r="K98"/>
  <c r="R97"/>
  <c r="N97"/>
  <c r="P97" s="1"/>
  <c r="L97"/>
  <c r="K97"/>
  <c r="R96"/>
  <c r="N96"/>
  <c r="P96" s="1"/>
  <c r="S96" s="1"/>
  <c r="L96"/>
  <c r="K96"/>
  <c r="R95"/>
  <c r="N95"/>
  <c r="P95" s="1"/>
  <c r="L95"/>
  <c r="K95"/>
  <c r="R94"/>
  <c r="N94"/>
  <c r="P94" s="1"/>
  <c r="L94"/>
  <c r="K94"/>
  <c r="R93"/>
  <c r="N93"/>
  <c r="P93" s="1"/>
  <c r="S93" s="1"/>
  <c r="L93"/>
  <c r="K93"/>
  <c r="R92"/>
  <c r="P92"/>
  <c r="S92" s="1"/>
  <c r="N92"/>
  <c r="L92"/>
  <c r="V92" s="1" a="1"/>
  <c r="V92" s="1"/>
  <c r="K92"/>
  <c r="R91"/>
  <c r="N91"/>
  <c r="P91" s="1"/>
  <c r="L91"/>
  <c r="K91"/>
  <c r="R90"/>
  <c r="N90"/>
  <c r="P90" s="1"/>
  <c r="L90"/>
  <c r="K90"/>
  <c r="R89"/>
  <c r="N89"/>
  <c r="P89" s="1"/>
  <c r="L89"/>
  <c r="K89"/>
  <c r="R88"/>
  <c r="N88"/>
  <c r="P88" s="1"/>
  <c r="S88" s="1"/>
  <c r="L88"/>
  <c r="K88"/>
  <c r="R87"/>
  <c r="N87"/>
  <c r="P87" s="1"/>
  <c r="L87"/>
  <c r="K87"/>
  <c r="R86"/>
  <c r="N86"/>
  <c r="P86" s="1"/>
  <c r="S86" s="1"/>
  <c r="L86"/>
  <c r="K86"/>
  <c r="R85"/>
  <c r="N85"/>
  <c r="P85" s="1"/>
  <c r="S85" s="1"/>
  <c r="L85"/>
  <c r="K85"/>
  <c r="R84"/>
  <c r="P84"/>
  <c r="S84" s="1"/>
  <c r="N84"/>
  <c r="L84"/>
  <c r="V84" s="1" a="1"/>
  <c r="V84" s="1"/>
  <c r="K84"/>
  <c r="R83"/>
  <c r="N83"/>
  <c r="P83" s="1"/>
  <c r="L83"/>
  <c r="K83"/>
  <c r="R82"/>
  <c r="N82"/>
  <c r="P82" s="1"/>
  <c r="L82"/>
  <c r="K82"/>
  <c r="R81"/>
  <c r="N81"/>
  <c r="P81" s="1"/>
  <c r="L81"/>
  <c r="K81"/>
  <c r="R80"/>
  <c r="N80"/>
  <c r="P80" s="1"/>
  <c r="L80"/>
  <c r="K80"/>
  <c r="R79"/>
  <c r="N79"/>
  <c r="P79" s="1"/>
  <c r="L79"/>
  <c r="K79"/>
  <c r="R78"/>
  <c r="N78"/>
  <c r="P78" s="1"/>
  <c r="L78"/>
  <c r="K78"/>
  <c r="R77"/>
  <c r="N77"/>
  <c r="P77" s="1"/>
  <c r="L77"/>
  <c r="K77"/>
  <c r="R76"/>
  <c r="N76"/>
  <c r="P76" s="1"/>
  <c r="L76"/>
  <c r="K76"/>
  <c r="R75"/>
  <c r="N75"/>
  <c r="P75" s="1"/>
  <c r="L75"/>
  <c r="K75"/>
  <c r="R74"/>
  <c r="N74"/>
  <c r="P74" s="1"/>
  <c r="L74"/>
  <c r="K74"/>
  <c r="R73"/>
  <c r="N73"/>
  <c r="P73" s="1"/>
  <c r="L73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L61"/>
  <c r="K61"/>
  <c r="R60"/>
  <c r="N60"/>
  <c r="P60" s="1"/>
  <c r="L60"/>
  <c r="K60"/>
  <c r="R59"/>
  <c r="N59"/>
  <c r="P59" s="1"/>
  <c r="L59"/>
  <c r="K59"/>
  <c r="R58"/>
  <c r="N58"/>
  <c r="P58" s="1"/>
  <c r="L58"/>
  <c r="K58"/>
  <c r="R57"/>
  <c r="N57"/>
  <c r="P57" s="1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L53"/>
  <c r="K53"/>
  <c r="R52"/>
  <c r="N52"/>
  <c r="P52" s="1"/>
  <c r="L52"/>
  <c r="K52"/>
  <c r="R51"/>
  <c r="N51"/>
  <c r="P51" s="1"/>
  <c r="L51"/>
  <c r="K51"/>
  <c r="R50"/>
  <c r="N50"/>
  <c r="P50" s="1"/>
  <c r="L50"/>
  <c r="K50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R44"/>
  <c r="N44"/>
  <c r="P44" s="1"/>
  <c r="L44"/>
  <c r="K44"/>
  <c r="R43"/>
  <c r="N43"/>
  <c r="P43" s="1"/>
  <c r="L43"/>
  <c r="K43"/>
  <c r="R42"/>
  <c r="N42"/>
  <c r="P42" s="1"/>
  <c r="L42"/>
  <c r="K42"/>
  <c r="R41"/>
  <c r="N41"/>
  <c r="P41" s="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R36"/>
  <c r="N36"/>
  <c r="P36" s="1"/>
  <c r="L36"/>
  <c r="K36"/>
  <c r="R35"/>
  <c r="N35"/>
  <c r="P35" s="1"/>
  <c r="L35"/>
  <c r="K35"/>
  <c r="R34"/>
  <c r="N34"/>
  <c r="P34" s="1"/>
  <c r="L34"/>
  <c r="K34"/>
  <c r="R33"/>
  <c r="N33"/>
  <c r="P33" s="1"/>
  <c r="L33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L29"/>
  <c r="K29"/>
  <c r="R28"/>
  <c r="N28"/>
  <c r="P28" s="1"/>
  <c r="L28"/>
  <c r="K28"/>
  <c r="R27"/>
  <c r="N27"/>
  <c r="P27" s="1"/>
  <c r="L27"/>
  <c r="K27"/>
  <c r="R26"/>
  <c r="N26"/>
  <c r="P26" s="1"/>
  <c r="L26"/>
  <c r="K26"/>
  <c r="R25"/>
  <c r="N25"/>
  <c r="P25" s="1"/>
  <c r="L25"/>
  <c r="K25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R7"/>
  <c r="N7"/>
  <c r="P7" s="1"/>
  <c r="L7"/>
  <c r="K7"/>
  <c r="V7" s="1" a="1"/>
  <c r="V7" s="1"/>
  <c r="R6"/>
  <c r="N6"/>
  <c r="P6" s="1"/>
  <c r="L6"/>
  <c r="K6"/>
  <c r="M420" l="1"/>
  <c r="M211"/>
  <c r="AA412"/>
  <c r="AA418"/>
  <c r="AA419"/>
  <c r="V220" a="1"/>
  <c r="V220" s="1"/>
  <c r="S283"/>
  <c r="S286"/>
  <c r="S310"/>
  <c r="S309"/>
  <c r="S247"/>
  <c r="S235"/>
  <c r="S237"/>
  <c r="S220"/>
  <c r="K434"/>
  <c r="O434" s="1" a="1"/>
  <c r="O434" s="1"/>
  <c r="K432"/>
  <c r="O432" s="1" a="1"/>
  <c r="O432" s="1"/>
  <c r="K433"/>
  <c r="O433" s="1" a="1"/>
  <c r="O433" s="1"/>
  <c r="AA207"/>
  <c r="AA206"/>
  <c r="AA208"/>
  <c r="AA203"/>
  <c r="AA209"/>
  <c r="AA210"/>
  <c r="S193"/>
  <c r="S102"/>
  <c r="S101"/>
  <c r="S98"/>
  <c r="S99"/>
  <c r="V101" a="1"/>
  <c r="V101" s="1"/>
  <c r="S106"/>
  <c r="S107"/>
  <c r="V112" a="1"/>
  <c r="V112" s="1"/>
  <c r="S113"/>
  <c r="V120" a="1"/>
  <c r="V120" s="1"/>
  <c r="S121"/>
  <c r="V127" a="1"/>
  <c r="V127" s="1"/>
  <c r="S128"/>
  <c r="V135" a="1"/>
  <c r="V135" s="1"/>
  <c r="S136"/>
  <c r="S137"/>
  <c r="V143" a="1"/>
  <c r="V143" s="1"/>
  <c r="S144"/>
  <c r="S145"/>
  <c r="S152"/>
  <c r="S153"/>
  <c r="S160"/>
  <c r="S161"/>
  <c r="S168"/>
  <c r="S169"/>
  <c r="V175" a="1"/>
  <c r="V175" s="1"/>
  <c r="S176"/>
  <c r="S177"/>
  <c r="V183" a="1"/>
  <c r="V183" s="1"/>
  <c r="S184"/>
  <c r="S185"/>
  <c r="S192"/>
  <c r="S104"/>
  <c r="V107" a="1"/>
  <c r="V107" s="1"/>
  <c r="S111"/>
  <c r="V113" a="1"/>
  <c r="V113" s="1"/>
  <c r="S114"/>
  <c r="S115"/>
  <c r="V117" a="1"/>
  <c r="V117" s="1"/>
  <c r="S118"/>
  <c r="S119"/>
  <c r="S122"/>
  <c r="S126"/>
  <c r="V128" a="1"/>
  <c r="V128" s="1"/>
  <c r="S129"/>
  <c r="S130"/>
  <c r="V133" a="1"/>
  <c r="V133" s="1"/>
  <c r="S134"/>
  <c r="V137" a="1"/>
  <c r="V137" s="1"/>
  <c r="S138"/>
  <c r="V141" a="1"/>
  <c r="V141" s="1"/>
  <c r="S142"/>
  <c r="S146"/>
  <c r="V149" a="1"/>
  <c r="V149" s="1"/>
  <c r="S150"/>
  <c r="S154"/>
  <c r="S158"/>
  <c r="S162"/>
  <c r="S166"/>
  <c r="V169" a="1"/>
  <c r="V169" s="1"/>
  <c r="S170"/>
  <c r="V173" a="1"/>
  <c r="V173" s="1"/>
  <c r="S174"/>
  <c r="V177" a="1"/>
  <c r="V177" s="1"/>
  <c r="S178"/>
  <c r="V181" a="1"/>
  <c r="V181" s="1"/>
  <c r="S182"/>
  <c r="V185" a="1"/>
  <c r="V185" s="1"/>
  <c r="S186"/>
  <c r="V189" a="1"/>
  <c r="V189" s="1"/>
  <c r="S190"/>
  <c r="S82"/>
  <c r="V88" a="1"/>
  <c r="V88" s="1"/>
  <c r="S89"/>
  <c r="V96" a="1"/>
  <c r="V96" s="1"/>
  <c r="S97"/>
  <c r="S83"/>
  <c r="S87"/>
  <c r="V89" a="1"/>
  <c r="V89" s="1"/>
  <c r="S90"/>
  <c r="S91"/>
  <c r="V93" a="1"/>
  <c r="V93" s="1"/>
  <c r="S94"/>
  <c r="S95"/>
  <c r="V97" a="1"/>
  <c r="V97" s="1"/>
  <c r="R199"/>
  <c r="V311" a="1"/>
  <c r="V311" s="1"/>
  <c r="V316" a="1"/>
  <c r="V316" s="1"/>
  <c r="V321" a="1"/>
  <c r="V321" s="1"/>
  <c r="V322" a="1"/>
  <c r="V322" s="1"/>
  <c r="V325" a="1"/>
  <c r="V325" s="1"/>
  <c r="V326" a="1"/>
  <c r="V326" s="1"/>
  <c r="V329" a="1"/>
  <c r="V329" s="1"/>
  <c r="V336" a="1"/>
  <c r="V336" s="1"/>
  <c r="V337" a="1"/>
  <c r="V337" s="1"/>
  <c r="V342" a="1"/>
  <c r="V342" s="1"/>
  <c r="V343" a="1"/>
  <c r="V343" s="1"/>
  <c r="V346" a="1"/>
  <c r="V346" s="1"/>
  <c r="V347" a="1"/>
  <c r="V347" s="1"/>
  <c r="V350" a="1"/>
  <c r="V350" s="1"/>
  <c r="V351" a="1"/>
  <c r="V351" s="1"/>
  <c r="V356" a="1"/>
  <c r="V356" s="1"/>
  <c r="V357" a="1"/>
  <c r="V357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6" a="1"/>
  <c r="V406" s="1"/>
  <c r="V287" a="1"/>
  <c r="V287" s="1"/>
  <c r="V293" a="1"/>
  <c r="V293" s="1"/>
  <c r="V297" a="1"/>
  <c r="V297" s="1"/>
  <c r="V298" a="1"/>
  <c r="V298" s="1"/>
  <c r="V301" a="1"/>
  <c r="V301" s="1"/>
  <c r="V302" a="1"/>
  <c r="V302" s="1"/>
  <c r="V305" a="1"/>
  <c r="V305" s="1"/>
  <c r="V306" a="1"/>
  <c r="V306" s="1"/>
  <c r="V284" a="1"/>
  <c r="V284" s="1"/>
  <c r="V285" a="1"/>
  <c r="V285" s="1"/>
  <c r="R408"/>
  <c r="V252" a="1"/>
  <c r="V252" s="1"/>
  <c r="V253" a="1"/>
  <c r="V253" s="1"/>
  <c r="V260" a="1"/>
  <c r="V260" s="1"/>
  <c r="V261" a="1"/>
  <c r="V261" s="1"/>
  <c r="V264" a="1"/>
  <c r="V264" s="1"/>
  <c r="V265" a="1"/>
  <c r="V265" s="1"/>
  <c r="V267" a="1"/>
  <c r="V267" s="1"/>
  <c r="V268" a="1"/>
  <c r="V268" s="1"/>
  <c r="V273" a="1"/>
  <c r="V273" s="1"/>
  <c r="V280" a="1"/>
  <c r="V280" s="1"/>
  <c r="V281" a="1"/>
  <c r="V281" s="1"/>
  <c r="V241" a="1"/>
  <c r="V241" s="1"/>
  <c r="V242" a="1"/>
  <c r="V242" s="1"/>
  <c r="V245" a="1"/>
  <c r="V245" s="1"/>
  <c r="V246" a="1"/>
  <c r="V246" s="1"/>
  <c r="V239" a="1"/>
  <c r="V239" s="1"/>
  <c r="V240" a="1"/>
  <c r="V240" s="1"/>
  <c r="V243" a="1"/>
  <c r="V243" s="1"/>
  <c r="V244" a="1"/>
  <c r="V244" s="1"/>
  <c r="V236" a="1"/>
  <c r="V236" s="1"/>
  <c r="V226" a="1"/>
  <c r="V226" s="1"/>
  <c r="V227" a="1"/>
  <c r="V227" s="1"/>
  <c r="V230" a="1"/>
  <c r="V230" s="1"/>
  <c r="V231" a="1"/>
  <c r="V231" s="1"/>
  <c r="V234" a="1"/>
  <c r="V234" s="1"/>
  <c r="V222" a="1"/>
  <c r="V222" s="1"/>
  <c r="V225" a="1"/>
  <c r="V225" s="1"/>
  <c r="V228" a="1"/>
  <c r="V228" s="1"/>
  <c r="V229" a="1"/>
  <c r="V229" s="1"/>
  <c r="V232" a="1"/>
  <c r="V232" s="1"/>
  <c r="V233" a="1"/>
  <c r="V233" s="1"/>
  <c r="V218" a="1"/>
  <c r="V218" s="1"/>
  <c r="V219" a="1"/>
  <c r="V219" s="1"/>
  <c r="V216" a="1"/>
  <c r="V216" s="1"/>
  <c r="V237" a="1"/>
  <c r="V237" s="1"/>
  <c r="V286" a="1"/>
  <c r="V286" s="1"/>
  <c r="V283" a="1"/>
  <c r="V283" s="1"/>
  <c r="P408"/>
  <c r="O409" s="1" a="1"/>
  <c r="O409" s="1"/>
  <c r="V309" a="1"/>
  <c r="V309" s="1"/>
  <c r="V196" a="1"/>
  <c r="V196" s="1"/>
  <c r="V198" a="1"/>
  <c r="V198" s="1"/>
  <c r="V106" a="1"/>
  <c r="V106" s="1"/>
  <c r="V111" a="1"/>
  <c r="V111" s="1"/>
  <c r="V114" a="1"/>
  <c r="V114" s="1"/>
  <c r="V115" a="1"/>
  <c r="V115" s="1"/>
  <c r="V118" a="1"/>
  <c r="V118" s="1"/>
  <c r="V119" a="1"/>
  <c r="V119" s="1"/>
  <c r="V126" a="1"/>
  <c r="V126" s="1"/>
  <c r="V129" a="1"/>
  <c r="V129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99" a="1"/>
  <c r="V99" s="1"/>
  <c r="V27" a="1"/>
  <c r="V27" s="1"/>
  <c r="V28" a="1"/>
  <c r="V28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41" a="1"/>
  <c r="V41" s="1"/>
  <c r="V42" a="1"/>
  <c r="V42" s="1"/>
  <c r="V43" a="1"/>
  <c r="V43" s="1"/>
  <c r="V44" a="1"/>
  <c r="V44" s="1"/>
  <c r="V45" a="1"/>
  <c r="V45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8" a="1"/>
  <c r="V58" s="1"/>
  <c r="V59" a="1"/>
  <c r="V59" s="1"/>
  <c r="V62" a="1"/>
  <c r="V62" s="1"/>
  <c r="V63" a="1"/>
  <c r="V63" s="1"/>
  <c r="V64" a="1"/>
  <c r="V64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90" a="1"/>
  <c r="V90" s="1"/>
  <c r="V91" a="1"/>
  <c r="V91" s="1"/>
  <c r="V94" a="1"/>
  <c r="V94" s="1"/>
  <c r="V95" a="1"/>
  <c r="V95" s="1"/>
  <c r="V26" a="1"/>
  <c r="V26" s="1"/>
  <c r="V25" a="1"/>
  <c r="V25" s="1"/>
  <c r="V8" a="1"/>
  <c r="V8" s="1"/>
  <c r="P199"/>
  <c r="L199"/>
  <c r="K199" a="1"/>
  <c r="K199" s="1"/>
  <c r="V98" a="1"/>
  <c r="V98" s="1"/>
  <c r="V217" a="1"/>
  <c r="V217" s="1"/>
  <c r="K408" a="1"/>
  <c r="K408" s="1"/>
  <c r="S402" i="468"/>
  <c r="V237" a="1"/>
  <c r="V237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50" a="1"/>
  <c r="V250" s="1"/>
  <c r="V251" a="1"/>
  <c r="V251" s="1"/>
  <c r="V252" a="1"/>
  <c r="V252" s="1"/>
  <c r="V253" a="1"/>
  <c r="V253" s="1"/>
  <c r="V254" a="1"/>
  <c r="V254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7" a="1"/>
  <c r="V267" s="1"/>
  <c r="V268" a="1"/>
  <c r="V268" s="1"/>
  <c r="V271" a="1"/>
  <c r="V271" s="1"/>
  <c r="V272" a="1"/>
  <c r="V272" s="1"/>
  <c r="V273" a="1"/>
  <c r="V273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1" a="1"/>
  <c r="V291" s="1"/>
  <c r="V293" a="1"/>
  <c r="V293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S235"/>
  <c r="V308" a="1"/>
  <c r="V308" s="1"/>
  <c r="V309" a="1"/>
  <c r="V309" s="1"/>
  <c r="V310" a="1"/>
  <c r="V310" s="1"/>
  <c r="V311" a="1"/>
  <c r="V311" s="1"/>
  <c r="V315" a="1"/>
  <c r="V315" s="1"/>
  <c r="V316" a="1"/>
  <c r="V316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5" a="1"/>
  <c r="V335" s="1"/>
  <c r="V336" a="1"/>
  <c r="V336" s="1"/>
  <c r="V337" a="1"/>
  <c r="V337" s="1"/>
  <c r="V338" a="1"/>
  <c r="V338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5" a="1"/>
  <c r="V355" s="1"/>
  <c r="V356" a="1"/>
  <c r="V356" s="1"/>
  <c r="V357" a="1"/>
  <c r="V357" s="1"/>
  <c r="V358" a="1"/>
  <c r="V358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99" a="1"/>
  <c r="V99" s="1"/>
  <c r="K199" a="1"/>
  <c r="K199" s="1"/>
  <c r="C423" s="1"/>
  <c r="V95" a="1"/>
  <c r="V95" s="1"/>
  <c r="V98" a="1"/>
  <c r="V98" s="1"/>
  <c r="S101"/>
  <c r="S103"/>
  <c r="S104"/>
  <c r="S105"/>
  <c r="S106"/>
  <c r="S108"/>
  <c r="S109"/>
  <c r="S110"/>
  <c r="S111"/>
  <c r="S113"/>
  <c r="S115"/>
  <c r="S117"/>
  <c r="P199"/>
  <c r="P99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M420"/>
  <c r="K434"/>
  <c r="O434" s="1" a="1"/>
  <c r="O434" s="1"/>
  <c r="C443"/>
  <c r="U443" s="1" a="1"/>
  <c r="U443" s="1"/>
  <c r="D452"/>
  <c r="AA417"/>
  <c r="AA415"/>
  <c r="AA412"/>
  <c r="AA418"/>
  <c r="AA419"/>
  <c r="AA209"/>
  <c r="AA206"/>
  <c r="AA208"/>
  <c r="S189"/>
  <c r="R199"/>
  <c r="S99"/>
  <c r="R408"/>
  <c r="G424" s="1"/>
  <c r="S284"/>
  <c r="K433"/>
  <c r="O433" s="1" a="1"/>
  <c r="O433" s="1"/>
  <c r="K432"/>
  <c r="O432" s="1" a="1"/>
  <c r="O432" s="1"/>
  <c r="S7" i="469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C424"/>
  <c r="K424" s="1"/>
  <c r="O200"/>
  <c r="S211" a="1"/>
  <c r="S211" s="1"/>
  <c r="M209" a="1"/>
  <c r="M209" s="1"/>
  <c r="M208" a="1"/>
  <c r="M208" s="1"/>
  <c r="M207" a="1"/>
  <c r="M207" s="1"/>
  <c r="M206" a="1"/>
  <c r="M206" s="1"/>
  <c r="V199"/>
  <c r="S6"/>
  <c r="S199" s="1" a="1"/>
  <c r="S199" s="1"/>
  <c r="W200"/>
  <c r="V6" a="1"/>
  <c r="V6" s="1"/>
  <c r="AA210"/>
  <c r="K430"/>
  <c r="K429"/>
  <c r="L408"/>
  <c r="V215" a="1"/>
  <c r="V215" s="1"/>
  <c r="T452" a="1"/>
  <c r="T452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468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O200"/>
  <c r="V6" a="1"/>
  <c r="V6" s="1"/>
  <c r="L27"/>
  <c r="V27" s="1" a="1"/>
  <c r="V27" s="1"/>
  <c r="V94" a="1"/>
  <c r="V94" s="1"/>
  <c r="S100"/>
  <c r="S102"/>
  <c r="S107"/>
  <c r="S112"/>
  <c r="S114"/>
  <c r="S116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W200" i="467"/>
  <c r="S6" i="468"/>
  <c r="S307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178"/>
  <c r="S180"/>
  <c r="S182"/>
  <c r="S184"/>
  <c r="S186"/>
  <c r="S188"/>
  <c r="L189"/>
  <c r="V189" s="1" a="1"/>
  <c r="V189" s="1"/>
  <c r="W200"/>
  <c r="O424" s="1"/>
  <c r="AA210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P308"/>
  <c r="S308" s="1"/>
  <c r="M211"/>
  <c r="S215"/>
  <c r="I236"/>
  <c r="P236" s="1"/>
  <c r="S353"/>
  <c r="S354"/>
  <c r="S355"/>
  <c r="S357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9"/>
  <c r="S381"/>
  <c r="S383"/>
  <c r="S385"/>
  <c r="S387"/>
  <c r="S389"/>
  <c r="S391"/>
  <c r="S393"/>
  <c r="S395"/>
  <c r="S397"/>
  <c r="P398"/>
  <c r="S398" s="1"/>
  <c r="S399"/>
  <c r="L402"/>
  <c r="V402" s="1" a="1"/>
  <c r="V402" s="1"/>
  <c r="K430"/>
  <c r="K429"/>
  <c r="C452"/>
  <c r="J452" s="1"/>
  <c r="Q452" s="1"/>
  <c r="S452" s="1" a="1"/>
  <c r="S452" s="1"/>
  <c r="G211"/>
  <c r="V215" a="1"/>
  <c r="V215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211" i="467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V6" a="1"/>
  <c r="V6" s="1"/>
  <c r="S83"/>
  <c r="S84"/>
  <c r="S89"/>
  <c r="S91"/>
  <c r="S93"/>
  <c r="S95"/>
  <c r="S97"/>
  <c r="S99"/>
  <c r="S101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3" i="455"/>
  <c r="C423" i="457"/>
  <c r="C423" i="459"/>
  <c r="C423" i="461"/>
  <c r="L199" i="465"/>
  <c r="V6" a="1"/>
  <c r="V6" s="1"/>
  <c r="W200" i="464"/>
  <c r="P199" i="465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V6" i="464" a="1"/>
  <c r="V6" s="1"/>
  <c r="S211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S199" s="1" a="1"/>
  <c r="S199" s="1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463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C424"/>
  <c r="K424" s="1"/>
  <c r="O200"/>
  <c r="V6" a="1"/>
  <c r="V6" s="1"/>
  <c r="W200"/>
  <c r="S211" a="1"/>
  <c r="S211" s="1"/>
  <c r="M209" a="1"/>
  <c r="M209" s="1"/>
  <c r="M208" a="1"/>
  <c r="M208" s="1"/>
  <c r="M207" a="1"/>
  <c r="M207" s="1"/>
  <c r="M206" a="1"/>
  <c r="M206" s="1"/>
  <c r="V199"/>
  <c r="S6"/>
  <c r="S199" s="1" a="1"/>
  <c r="S199" s="1"/>
  <c r="V82" a="1"/>
  <c r="V82" s="1"/>
  <c r="K430"/>
  <c r="K429"/>
  <c r="L408"/>
  <c r="V215" a="1"/>
  <c r="V215" s="1"/>
  <c r="T452" a="1"/>
  <c r="T452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211" i="462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V6" a="1"/>
  <c r="V6" s="1"/>
  <c r="V17" a="1"/>
  <c r="V17" s="1"/>
  <c r="S17"/>
  <c r="S18"/>
  <c r="S19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61"/>
  <c r="V6" a="1"/>
  <c r="V6" s="1"/>
  <c r="W200" i="458"/>
  <c r="P199" i="461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6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3" i="458"/>
  <c r="L199" i="45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458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C424"/>
  <c r="K424" s="1"/>
  <c r="O200"/>
  <c r="S211" a="1"/>
  <c r="S211" s="1"/>
  <c r="V199"/>
  <c r="M209" a="1"/>
  <c r="M209" s="1"/>
  <c r="S6"/>
  <c r="S199" s="1" a="1"/>
  <c r="S199" s="1"/>
  <c r="V79" a="1"/>
  <c r="V79" s="1"/>
  <c r="V6" a="1"/>
  <c r="V6" s="1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M206" a="1"/>
  <c r="M206" s="1"/>
  <c r="M207" a="1"/>
  <c r="M207" s="1"/>
  <c r="M208" a="1"/>
  <c r="M208" s="1"/>
  <c r="M21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P199" i="455"/>
  <c r="S6"/>
  <c r="S199" s="1" a="1"/>
  <c r="S199" s="1"/>
  <c r="V6" a="1"/>
  <c r="V6" s="1"/>
  <c r="G423"/>
  <c r="G428" s="1"/>
  <c r="S211" a="1"/>
  <c r="S211" s="1"/>
  <c r="M209" a="1"/>
  <c r="M209" s="1"/>
  <c r="M208" a="1"/>
  <c r="M208" s="1"/>
  <c r="M207" a="1"/>
  <c r="M207" s="1"/>
  <c r="M206" a="1"/>
  <c r="M206" s="1"/>
  <c r="V199"/>
  <c r="W200"/>
  <c r="AA210"/>
  <c r="C452"/>
  <c r="J452" s="1"/>
  <c r="Q452" s="1"/>
  <c r="S452" s="1" a="1"/>
  <c r="S452" s="1"/>
  <c r="K430"/>
  <c r="K429"/>
  <c r="L408"/>
  <c r="V215" a="1"/>
  <c r="V215" s="1"/>
  <c r="U452" a="1"/>
  <c r="U452" s="1"/>
  <c r="T452" a="1"/>
  <c r="T452" s="1"/>
  <c r="G427"/>
  <c r="G211"/>
  <c r="S215"/>
  <c r="S408" s="1" a="1"/>
  <c r="S408" s="1"/>
  <c r="W409"/>
  <c r="G430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W200" i="452"/>
  <c r="C424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211" a="1"/>
  <c r="S211" s="1"/>
  <c r="M209" a="1"/>
  <c r="M209" s="1"/>
  <c r="M208" a="1"/>
  <c r="M208" s="1"/>
  <c r="M207" a="1"/>
  <c r="M207" s="1"/>
  <c r="M206" a="1"/>
  <c r="M206" s="1"/>
  <c r="V199"/>
  <c r="S6"/>
  <c r="S199" s="1" a="1"/>
  <c r="S199" s="1"/>
  <c r="V82" a="1"/>
  <c r="V82" s="1"/>
  <c r="V6" a="1"/>
  <c r="V6" s="1"/>
  <c r="K430"/>
  <c r="K429"/>
  <c r="L408"/>
  <c r="V215" a="1"/>
  <c r="V215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51" i="45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N23"/>
  <c r="P23" s="1"/>
  <c r="S23" s="1"/>
  <c r="L23"/>
  <c r="V23" s="1" a="1"/>
  <c r="V23" s="1"/>
  <c r="K23"/>
  <c r="R22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S19" s="1"/>
  <c r="N19"/>
  <c r="P19" s="1"/>
  <c r="L19"/>
  <c r="K19"/>
  <c r="V19" s="1" a="1"/>
  <c r="V19" s="1"/>
  <c r="R18"/>
  <c r="N18"/>
  <c r="P18" s="1"/>
  <c r="L18"/>
  <c r="K18"/>
  <c r="V18" s="1" a="1"/>
  <c r="V18" s="1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P6"/>
  <c r="P199" s="1"/>
  <c r="N6"/>
  <c r="L6"/>
  <c r="L199" s="1"/>
  <c r="K6"/>
  <c r="C451" i="45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AA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51" i="44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3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S187" s="1"/>
  <c r="N187"/>
  <c r="P187" s="1"/>
  <c r="L187"/>
  <c r="V187" s="1" a="1"/>
  <c r="V187" s="1"/>
  <c r="K187"/>
  <c r="R186"/>
  <c r="S186" s="1"/>
  <c r="N186"/>
  <c r="P186" s="1"/>
  <c r="L186"/>
  <c r="V186" s="1" a="1"/>
  <c r="V186" s="1"/>
  <c r="K186"/>
  <c r="R185"/>
  <c r="S185" s="1"/>
  <c r="N185"/>
  <c r="P185" s="1"/>
  <c r="L185"/>
  <c r="V185" s="1" a="1"/>
  <c r="V185" s="1"/>
  <c r="K185"/>
  <c r="R184"/>
  <c r="S184" s="1"/>
  <c r="N184"/>
  <c r="P184" s="1"/>
  <c r="L184"/>
  <c r="K184"/>
  <c r="V184" s="1" a="1"/>
  <c r="V184" s="1"/>
  <c r="R183"/>
  <c r="S183" s="1"/>
  <c r="N183"/>
  <c r="P183" s="1"/>
  <c r="L183"/>
  <c r="K183"/>
  <c r="V183" s="1" a="1"/>
  <c r="V183" s="1"/>
  <c r="R182"/>
  <c r="S182" s="1"/>
  <c r="N182"/>
  <c r="P182" s="1"/>
  <c r="L182"/>
  <c r="K182"/>
  <c r="V182" s="1" a="1"/>
  <c r="V182" s="1"/>
  <c r="R181"/>
  <c r="S181" s="1"/>
  <c r="N181"/>
  <c r="P181" s="1"/>
  <c r="L181"/>
  <c r="K181"/>
  <c r="V181" s="1" a="1"/>
  <c r="V181" s="1"/>
  <c r="R180"/>
  <c r="S180" s="1"/>
  <c r="N180"/>
  <c r="P180" s="1"/>
  <c r="L180"/>
  <c r="K180"/>
  <c r="V180" s="1" a="1"/>
  <c r="V180" s="1"/>
  <c r="R179"/>
  <c r="S179" s="1"/>
  <c r="N179"/>
  <c r="P179" s="1"/>
  <c r="L179"/>
  <c r="K179"/>
  <c r="V179" s="1" a="1"/>
  <c r="V179" s="1"/>
  <c r="R178"/>
  <c r="N178"/>
  <c r="P178" s="1"/>
  <c r="L178"/>
  <c r="K178"/>
  <c r="V178" s="1" a="1"/>
  <c r="V178" s="1"/>
  <c r="R177"/>
  <c r="S177" s="1"/>
  <c r="N177"/>
  <c r="P177" s="1"/>
  <c r="L177"/>
  <c r="K177"/>
  <c r="V177" s="1" a="1"/>
  <c r="V177" s="1"/>
  <c r="R176"/>
  <c r="S176" s="1"/>
  <c r="N176"/>
  <c r="P176" s="1"/>
  <c r="L176"/>
  <c r="K176"/>
  <c r="V176" s="1" a="1"/>
  <c r="V176" s="1"/>
  <c r="R175"/>
  <c r="S175" s="1"/>
  <c r="N175"/>
  <c r="P175" s="1"/>
  <c r="L175"/>
  <c r="K175"/>
  <c r="V175" s="1" a="1"/>
  <c r="V175" s="1"/>
  <c r="R174"/>
  <c r="S174" s="1"/>
  <c r="N174"/>
  <c r="P174" s="1"/>
  <c r="L174"/>
  <c r="K174"/>
  <c r="V174" s="1" a="1"/>
  <c r="V174" s="1"/>
  <c r="R173"/>
  <c r="S173" s="1"/>
  <c r="N173"/>
  <c r="P173" s="1"/>
  <c r="L173"/>
  <c r="K173"/>
  <c r="V173" s="1" a="1"/>
  <c r="V173" s="1"/>
  <c r="R172"/>
  <c r="S172" s="1"/>
  <c r="N172"/>
  <c r="P172" s="1"/>
  <c r="L172"/>
  <c r="K172"/>
  <c r="V172" s="1" a="1"/>
  <c r="V172" s="1"/>
  <c r="R171"/>
  <c r="S171" s="1"/>
  <c r="N171"/>
  <c r="P171" s="1"/>
  <c r="L171"/>
  <c r="K171"/>
  <c r="V171" s="1" a="1"/>
  <c r="V171" s="1"/>
  <c r="R170"/>
  <c r="S170" s="1"/>
  <c r="N170"/>
  <c r="P170" s="1"/>
  <c r="L170"/>
  <c r="K170"/>
  <c r="V170" s="1" a="1"/>
  <c r="V170" s="1"/>
  <c r="R169"/>
  <c r="N169"/>
  <c r="P169" s="1"/>
  <c r="L169"/>
  <c r="K169"/>
  <c r="V169" s="1" a="1"/>
  <c r="V169" s="1"/>
  <c r="R168"/>
  <c r="N168"/>
  <c r="P168" s="1"/>
  <c r="L168"/>
  <c r="K168"/>
  <c r="V168" s="1" a="1"/>
  <c r="V168" s="1"/>
  <c r="R167"/>
  <c r="N167"/>
  <c r="P167" s="1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L151"/>
  <c r="K151"/>
  <c r="R150"/>
  <c r="N150"/>
  <c r="P150" s="1"/>
  <c r="L150"/>
  <c r="K150"/>
  <c r="R149"/>
  <c r="N149"/>
  <c r="P149" s="1"/>
  <c r="L149"/>
  <c r="K149"/>
  <c r="V149" s="1" a="1"/>
  <c r="V149" s="1"/>
  <c r="R148"/>
  <c r="N148"/>
  <c r="P148" s="1"/>
  <c r="L148"/>
  <c r="K148"/>
  <c r="V148" s="1" a="1"/>
  <c r="V148" s="1"/>
  <c r="R147"/>
  <c r="N147"/>
  <c r="P147" s="1"/>
  <c r="L147"/>
  <c r="K147"/>
  <c r="V147" s="1" a="1"/>
  <c r="V147" s="1"/>
  <c r="R146"/>
  <c r="N146"/>
  <c r="P146" s="1"/>
  <c r="L146"/>
  <c r="K146"/>
  <c r="V146" s="1" a="1"/>
  <c r="V146" s="1"/>
  <c r="R145"/>
  <c r="N145"/>
  <c r="P145" s="1"/>
  <c r="L145"/>
  <c r="K145"/>
  <c r="R144"/>
  <c r="N144"/>
  <c r="P144" s="1"/>
  <c r="L144"/>
  <c r="K144"/>
  <c r="R143"/>
  <c r="N143"/>
  <c r="P143" s="1"/>
  <c r="L143"/>
  <c r="K143"/>
  <c r="V143" s="1" a="1"/>
  <c r="V143" s="1"/>
  <c r="R142"/>
  <c r="N142"/>
  <c r="P142" s="1"/>
  <c r="L142"/>
  <c r="K142"/>
  <c r="V142" s="1" a="1"/>
  <c r="V142" s="1"/>
  <c r="R141"/>
  <c r="N141"/>
  <c r="P141" s="1"/>
  <c r="L141"/>
  <c r="K141"/>
  <c r="V141" s="1" a="1"/>
  <c r="V141" s="1"/>
  <c r="R140"/>
  <c r="N140"/>
  <c r="P140" s="1"/>
  <c r="L140"/>
  <c r="K140"/>
  <c r="V140" s="1" a="1"/>
  <c r="V140" s="1"/>
  <c r="R139"/>
  <c r="N139"/>
  <c r="P139" s="1"/>
  <c r="L139"/>
  <c r="K139"/>
  <c r="V139" s="1" a="1"/>
  <c r="V139" s="1"/>
  <c r="R138"/>
  <c r="N138"/>
  <c r="P138" s="1"/>
  <c r="L138"/>
  <c r="K138"/>
  <c r="V138" s="1" a="1"/>
  <c r="V138" s="1"/>
  <c r="R137"/>
  <c r="N137"/>
  <c r="P137" s="1"/>
  <c r="L137"/>
  <c r="K137"/>
  <c r="V137" s="1" a="1"/>
  <c r="V137" s="1"/>
  <c r="R136"/>
  <c r="N136"/>
  <c r="P136" s="1"/>
  <c r="L136"/>
  <c r="K136"/>
  <c r="V136" s="1" a="1"/>
  <c r="V136" s="1"/>
  <c r="R135"/>
  <c r="N135"/>
  <c r="P135" s="1"/>
  <c r="L135"/>
  <c r="K135"/>
  <c r="V135" s="1" a="1"/>
  <c r="V135" s="1"/>
  <c r="R134"/>
  <c r="N134"/>
  <c r="P134" s="1"/>
  <c r="L134"/>
  <c r="K134"/>
  <c r="V134" s="1" a="1"/>
  <c r="V134" s="1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V112" s="1" a="1"/>
  <c r="V112" s="1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V100" s="1" a="1"/>
  <c r="V100" s="1"/>
  <c r="R99"/>
  <c r="N99"/>
  <c r="P99" s="1"/>
  <c r="L99"/>
  <c r="K99"/>
  <c r="V99" s="1" a="1"/>
  <c r="V99" s="1"/>
  <c r="R98"/>
  <c r="N98"/>
  <c r="P98" s="1"/>
  <c r="L98"/>
  <c r="K98"/>
  <c r="V98" s="1" a="1"/>
  <c r="V98" s="1"/>
  <c r="R97"/>
  <c r="N97"/>
  <c r="P97" s="1"/>
  <c r="L97"/>
  <c r="K97"/>
  <c r="V97" s="1" a="1"/>
  <c r="V97" s="1"/>
  <c r="R96"/>
  <c r="N96"/>
  <c r="P96" s="1"/>
  <c r="L96"/>
  <c r="K96"/>
  <c r="V96" s="1" a="1"/>
  <c r="V96" s="1"/>
  <c r="R95"/>
  <c r="N95"/>
  <c r="P95" s="1"/>
  <c r="L95"/>
  <c r="K95"/>
  <c r="V95" s="1" a="1"/>
  <c r="V95" s="1"/>
  <c r="R94"/>
  <c r="S94" s="1"/>
  <c r="N94"/>
  <c r="P94" s="1"/>
  <c r="L94"/>
  <c r="K94"/>
  <c r="V94" s="1" a="1"/>
  <c r="V94" s="1"/>
  <c r="R93"/>
  <c r="N93"/>
  <c r="P93" s="1"/>
  <c r="L93"/>
  <c r="K93"/>
  <c r="V93" s="1" a="1"/>
  <c r="V93" s="1"/>
  <c r="R92"/>
  <c r="S92" s="1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K82"/>
  <c r="V82" s="1" a="1"/>
  <c r="V82" s="1"/>
  <c r="R81"/>
  <c r="S81" s="1"/>
  <c r="N81"/>
  <c r="P81" s="1"/>
  <c r="L81"/>
  <c r="K81"/>
  <c r="R80"/>
  <c r="N80"/>
  <c r="P80" s="1"/>
  <c r="L80"/>
  <c r="K80"/>
  <c r="V80" s="1" a="1"/>
  <c r="V80" s="1"/>
  <c r="R79"/>
  <c r="S79" s="1"/>
  <c r="N79"/>
  <c r="P79" s="1"/>
  <c r="L79"/>
  <c r="K79"/>
  <c r="V79" s="1" a="1"/>
  <c r="V79" s="1"/>
  <c r="R78"/>
  <c r="N78"/>
  <c r="P78" s="1"/>
  <c r="L78"/>
  <c r="K78"/>
  <c r="V78" s="1" a="1"/>
  <c r="V78" s="1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51" i="438"/>
  <c r="U451" s="1" a="1"/>
  <c r="U451" s="1"/>
  <c r="P450"/>
  <c r="O450"/>
  <c r="N450"/>
  <c r="M450"/>
  <c r="L450"/>
  <c r="K450"/>
  <c r="I450"/>
  <c r="H450"/>
  <c r="G450"/>
  <c r="F450"/>
  <c r="E450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K417"/>
  <c r="G420" s="1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N405"/>
  <c r="P405" s="1"/>
  <c r="L405"/>
  <c r="K405"/>
  <c r="R404"/>
  <c r="N404"/>
  <c r="P404" s="1"/>
  <c r="L404"/>
  <c r="K404"/>
  <c r="R403"/>
  <c r="N403"/>
  <c r="P403" s="1"/>
  <c r="L403"/>
  <c r="K403"/>
  <c r="R402"/>
  <c r="N402"/>
  <c r="P402" s="1"/>
  <c r="L402"/>
  <c r="K402"/>
  <c r="R401"/>
  <c r="N401"/>
  <c r="P401" s="1"/>
  <c r="L401"/>
  <c r="K401"/>
  <c r="R400"/>
  <c r="N400"/>
  <c r="P400" s="1"/>
  <c r="L400"/>
  <c r="K400"/>
  <c r="R399"/>
  <c r="N399"/>
  <c r="P399" s="1"/>
  <c r="L399"/>
  <c r="K399"/>
  <c r="R398"/>
  <c r="N398"/>
  <c r="P398" s="1"/>
  <c r="S398" s="1"/>
  <c r="L398"/>
  <c r="K398"/>
  <c r="R397"/>
  <c r="N397"/>
  <c r="P397" s="1"/>
  <c r="L397"/>
  <c r="K397"/>
  <c r="R396"/>
  <c r="N396"/>
  <c r="P396" s="1"/>
  <c r="L396"/>
  <c r="K396"/>
  <c r="R395"/>
  <c r="N395"/>
  <c r="P395" s="1"/>
  <c r="L395"/>
  <c r="K395"/>
  <c r="R394"/>
  <c r="N394"/>
  <c r="P394" s="1"/>
  <c r="S394" s="1"/>
  <c r="L394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N389"/>
  <c r="P389" s="1"/>
  <c r="L389"/>
  <c r="K389"/>
  <c r="R388"/>
  <c r="N388"/>
  <c r="P388" s="1"/>
  <c r="L388"/>
  <c r="K388"/>
  <c r="R387"/>
  <c r="N387"/>
  <c r="P387" s="1"/>
  <c r="L387"/>
  <c r="K387"/>
  <c r="R386"/>
  <c r="N386"/>
  <c r="P386" s="1"/>
  <c r="L386"/>
  <c r="K386"/>
  <c r="R385"/>
  <c r="N385"/>
  <c r="P385" s="1"/>
  <c r="L385"/>
  <c r="K385"/>
  <c r="R384"/>
  <c r="N384"/>
  <c r="P384" s="1"/>
  <c r="L384"/>
  <c r="K384"/>
  <c r="R383"/>
  <c r="N383"/>
  <c r="P383" s="1"/>
  <c r="L383"/>
  <c r="K383"/>
  <c r="R382"/>
  <c r="N382"/>
  <c r="P382" s="1"/>
  <c r="S382" s="1"/>
  <c r="L382"/>
  <c r="K382"/>
  <c r="R381"/>
  <c r="N381"/>
  <c r="P381" s="1"/>
  <c r="L381"/>
  <c r="K381"/>
  <c r="R380"/>
  <c r="N380"/>
  <c r="P380" s="1"/>
  <c r="L380"/>
  <c r="K380"/>
  <c r="R379"/>
  <c r="N379"/>
  <c r="P379" s="1"/>
  <c r="L379"/>
  <c r="K379"/>
  <c r="R378"/>
  <c r="N378"/>
  <c r="P378" s="1"/>
  <c r="S378" s="1"/>
  <c r="L378"/>
  <c r="K378"/>
  <c r="R377"/>
  <c r="N377"/>
  <c r="P377" s="1"/>
  <c r="S377" s="1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L374"/>
  <c r="K374"/>
  <c r="R373"/>
  <c r="N373"/>
  <c r="P373" s="1"/>
  <c r="L373"/>
  <c r="K373"/>
  <c r="R372"/>
  <c r="N372"/>
  <c r="P372" s="1"/>
  <c r="L372"/>
  <c r="K372"/>
  <c r="R371"/>
  <c r="N371"/>
  <c r="P371" s="1"/>
  <c r="L371"/>
  <c r="K371"/>
  <c r="R370"/>
  <c r="N370"/>
  <c r="P370" s="1"/>
  <c r="L370"/>
  <c r="K370"/>
  <c r="R369"/>
  <c r="N369"/>
  <c r="P369" s="1"/>
  <c r="L369"/>
  <c r="K369"/>
  <c r="R368"/>
  <c r="N368"/>
  <c r="P368" s="1"/>
  <c r="L368"/>
  <c r="K368"/>
  <c r="R367"/>
  <c r="N367"/>
  <c r="P367" s="1"/>
  <c r="S367" s="1"/>
  <c r="L367"/>
  <c r="K367"/>
  <c r="R366"/>
  <c r="N366"/>
  <c r="P366" s="1"/>
  <c r="L366"/>
  <c r="K366"/>
  <c r="R365"/>
  <c r="N365"/>
  <c r="P365" s="1"/>
  <c r="L365"/>
  <c r="K365"/>
  <c r="R364"/>
  <c r="N364"/>
  <c r="P364" s="1"/>
  <c r="L364"/>
  <c r="K364"/>
  <c r="R363"/>
  <c r="N363"/>
  <c r="P363" s="1"/>
  <c r="S363" s="1"/>
  <c r="L363"/>
  <c r="K363"/>
  <c r="R362"/>
  <c r="N362"/>
  <c r="P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L358"/>
  <c r="K358"/>
  <c r="R357"/>
  <c r="N357"/>
  <c r="P357" s="1"/>
  <c r="L357"/>
  <c r="K357"/>
  <c r="R356"/>
  <c r="N356"/>
  <c r="P356" s="1"/>
  <c r="L356"/>
  <c r="K356"/>
  <c r="R355"/>
  <c r="N355"/>
  <c r="P355" s="1"/>
  <c r="L355"/>
  <c r="K355"/>
  <c r="R354"/>
  <c r="N354"/>
  <c r="P354" s="1"/>
  <c r="L354"/>
  <c r="K354"/>
  <c r="R353"/>
  <c r="N353"/>
  <c r="P353" s="1"/>
  <c r="L353"/>
  <c r="K353"/>
  <c r="R352"/>
  <c r="N352"/>
  <c r="P352" s="1"/>
  <c r="L352"/>
  <c r="K352"/>
  <c r="R351"/>
  <c r="N351"/>
  <c r="P351" s="1"/>
  <c r="L351"/>
  <c r="K351"/>
  <c r="R350"/>
  <c r="N350"/>
  <c r="P350" s="1"/>
  <c r="S350" s="1"/>
  <c r="L350"/>
  <c r="K350"/>
  <c r="R349"/>
  <c r="N349"/>
  <c r="P349" s="1"/>
  <c r="L349"/>
  <c r="K349"/>
  <c r="R348"/>
  <c r="N348"/>
  <c r="P348" s="1"/>
  <c r="L348"/>
  <c r="K348"/>
  <c r="R347"/>
  <c r="N347"/>
  <c r="P347" s="1"/>
  <c r="L347"/>
  <c r="K347"/>
  <c r="R346"/>
  <c r="N346"/>
  <c r="P346" s="1"/>
  <c r="S346" s="1"/>
  <c r="L346"/>
  <c r="K346"/>
  <c r="R345"/>
  <c r="N345"/>
  <c r="P345" s="1"/>
  <c r="S345" s="1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N341"/>
  <c r="P341" s="1"/>
  <c r="L341"/>
  <c r="K341"/>
  <c r="R340"/>
  <c r="N340"/>
  <c r="P340" s="1"/>
  <c r="L340"/>
  <c r="K340"/>
  <c r="R339"/>
  <c r="N339"/>
  <c r="P339" s="1"/>
  <c r="L339"/>
  <c r="K339"/>
  <c r="R338"/>
  <c r="N338"/>
  <c r="P338" s="1"/>
  <c r="L338"/>
  <c r="K338"/>
  <c r="R337"/>
  <c r="N337"/>
  <c r="P337" s="1"/>
  <c r="L337"/>
  <c r="K337"/>
  <c r="R336"/>
  <c r="N336"/>
  <c r="P336" s="1"/>
  <c r="L336"/>
  <c r="K336"/>
  <c r="R335"/>
  <c r="N335"/>
  <c r="P335" s="1"/>
  <c r="S335" s="1"/>
  <c r="L335"/>
  <c r="K335"/>
  <c r="R334"/>
  <c r="N334"/>
  <c r="P334" s="1"/>
  <c r="L334"/>
  <c r="K334"/>
  <c r="R333"/>
  <c r="N333"/>
  <c r="P333" s="1"/>
  <c r="L333"/>
  <c r="K333"/>
  <c r="R332"/>
  <c r="N332"/>
  <c r="P332" s="1"/>
  <c r="L332"/>
  <c r="K332"/>
  <c r="R331"/>
  <c r="N331"/>
  <c r="P331" s="1"/>
  <c r="S331" s="1"/>
  <c r="L331"/>
  <c r="K331"/>
  <c r="R330"/>
  <c r="N330"/>
  <c r="P330" s="1"/>
  <c r="L330"/>
  <c r="K330"/>
  <c r="R329"/>
  <c r="N329"/>
  <c r="P329" s="1"/>
  <c r="S329" s="1"/>
  <c r="L329"/>
  <c r="K329"/>
  <c r="R328"/>
  <c r="P328"/>
  <c r="S328" s="1"/>
  <c r="N328"/>
  <c r="L328"/>
  <c r="V328" s="1" a="1"/>
  <c r="V328" s="1"/>
  <c r="K328"/>
  <c r="R327"/>
  <c r="N327"/>
  <c r="P327" s="1"/>
  <c r="L327"/>
  <c r="K327"/>
  <c r="R326"/>
  <c r="N326"/>
  <c r="P326" s="1"/>
  <c r="L326"/>
  <c r="K326"/>
  <c r="R325"/>
  <c r="N325"/>
  <c r="P325" s="1"/>
  <c r="L325"/>
  <c r="K325"/>
  <c r="R324"/>
  <c r="N324"/>
  <c r="P324" s="1"/>
  <c r="L324"/>
  <c r="K324"/>
  <c r="R323"/>
  <c r="N323"/>
  <c r="P323" s="1"/>
  <c r="L323"/>
  <c r="K323"/>
  <c r="R322"/>
  <c r="N322"/>
  <c r="P322" s="1"/>
  <c r="L322"/>
  <c r="K322"/>
  <c r="R321"/>
  <c r="N321"/>
  <c r="P321" s="1"/>
  <c r="L321"/>
  <c r="K321"/>
  <c r="R320"/>
  <c r="N320"/>
  <c r="P320" s="1"/>
  <c r="S320" s="1"/>
  <c r="L320"/>
  <c r="K320"/>
  <c r="R319"/>
  <c r="N319"/>
  <c r="P319" s="1"/>
  <c r="L319"/>
  <c r="K319"/>
  <c r="R318"/>
  <c r="N318"/>
  <c r="P318" s="1"/>
  <c r="L318"/>
  <c r="K318"/>
  <c r="R317"/>
  <c r="N317"/>
  <c r="P317" s="1"/>
  <c r="L317"/>
  <c r="K317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L311"/>
  <c r="K311"/>
  <c r="R310"/>
  <c r="N310"/>
  <c r="P310" s="1"/>
  <c r="L310"/>
  <c r="K310"/>
  <c r="R309"/>
  <c r="N309"/>
  <c r="P309" s="1"/>
  <c r="L309"/>
  <c r="K309"/>
  <c r="R308"/>
  <c r="N308"/>
  <c r="P308" s="1"/>
  <c r="L308"/>
  <c r="K308"/>
  <c r="R307"/>
  <c r="N307"/>
  <c r="P307" s="1"/>
  <c r="L307"/>
  <c r="K307"/>
  <c r="R306"/>
  <c r="N306"/>
  <c r="P306" s="1"/>
  <c r="S306" s="1"/>
  <c r="L306"/>
  <c r="K306"/>
  <c r="R305"/>
  <c r="N305"/>
  <c r="P305" s="1"/>
  <c r="L305"/>
  <c r="K305"/>
  <c r="R304"/>
  <c r="N304"/>
  <c r="P304" s="1"/>
  <c r="L304"/>
  <c r="K304"/>
  <c r="R303"/>
  <c r="N303"/>
  <c r="P303" s="1"/>
  <c r="L303"/>
  <c r="K303"/>
  <c r="R302"/>
  <c r="N302"/>
  <c r="P302" s="1"/>
  <c r="S302" s="1"/>
  <c r="L302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V298" s="1" a="1"/>
  <c r="V298" s="1"/>
  <c r="K298"/>
  <c r="R297"/>
  <c r="N297"/>
  <c r="P297" s="1"/>
  <c r="L297"/>
  <c r="K297"/>
  <c r="R296"/>
  <c r="N296"/>
  <c r="P296" s="1"/>
  <c r="L296"/>
  <c r="K296"/>
  <c r="R295"/>
  <c r="N295"/>
  <c r="P295" s="1"/>
  <c r="L295"/>
  <c r="K295"/>
  <c r="R294"/>
  <c r="N294"/>
  <c r="P294" s="1"/>
  <c r="L294"/>
  <c r="K294"/>
  <c r="R293"/>
  <c r="N293"/>
  <c r="P293" s="1"/>
  <c r="L293"/>
  <c r="K293"/>
  <c r="R292"/>
  <c r="N292"/>
  <c r="P292" s="1"/>
  <c r="L292"/>
  <c r="K292"/>
  <c r="R291"/>
  <c r="N291"/>
  <c r="P291" s="1"/>
  <c r="S291" s="1"/>
  <c r="L291"/>
  <c r="K291"/>
  <c r="R290"/>
  <c r="N290"/>
  <c r="P290" s="1"/>
  <c r="L290"/>
  <c r="K290"/>
  <c r="R289"/>
  <c r="N289"/>
  <c r="P289" s="1"/>
  <c r="L289"/>
  <c r="K289"/>
  <c r="R288"/>
  <c r="N288"/>
  <c r="P288" s="1"/>
  <c r="L288"/>
  <c r="K288"/>
  <c r="R287"/>
  <c r="N287"/>
  <c r="P287" s="1"/>
  <c r="S287" s="1"/>
  <c r="L287"/>
  <c r="K287"/>
  <c r="R286"/>
  <c r="N286"/>
  <c r="P286" s="1"/>
  <c r="L286"/>
  <c r="K286"/>
  <c r="R285"/>
  <c r="N285"/>
  <c r="P285" s="1"/>
  <c r="L285"/>
  <c r="K285"/>
  <c r="R284"/>
  <c r="N284"/>
  <c r="P284" s="1"/>
  <c r="S284" s="1"/>
  <c r="L284"/>
  <c r="K284"/>
  <c r="R283"/>
  <c r="P283"/>
  <c r="S283" s="1"/>
  <c r="N283"/>
  <c r="L283"/>
  <c r="V283" s="1" a="1"/>
  <c r="V283" s="1"/>
  <c r="K283"/>
  <c r="R282"/>
  <c r="N282"/>
  <c r="P282" s="1"/>
  <c r="L282"/>
  <c r="K282"/>
  <c r="R281"/>
  <c r="N281"/>
  <c r="P281" s="1"/>
  <c r="L281"/>
  <c r="K281"/>
  <c r="R280"/>
  <c r="N280"/>
  <c r="P280" s="1"/>
  <c r="L280"/>
  <c r="K280"/>
  <c r="R279"/>
  <c r="N279"/>
  <c r="P279" s="1"/>
  <c r="L279"/>
  <c r="K279"/>
  <c r="R278"/>
  <c r="N278"/>
  <c r="P278" s="1"/>
  <c r="L278"/>
  <c r="K278"/>
  <c r="R277"/>
  <c r="N277"/>
  <c r="P277" s="1"/>
  <c r="L277"/>
  <c r="K277"/>
  <c r="R276"/>
  <c r="N276"/>
  <c r="P276" s="1"/>
  <c r="L276"/>
  <c r="K276"/>
  <c r="R275"/>
  <c r="N275"/>
  <c r="P275" s="1"/>
  <c r="S275" s="1"/>
  <c r="L275"/>
  <c r="K275"/>
  <c r="R274"/>
  <c r="N274"/>
  <c r="P274" s="1"/>
  <c r="L274"/>
  <c r="K274"/>
  <c r="R273"/>
  <c r="N273"/>
  <c r="P273" s="1"/>
  <c r="L273"/>
  <c r="K273"/>
  <c r="R272"/>
  <c r="N272"/>
  <c r="P272" s="1"/>
  <c r="S272" s="1"/>
  <c r="L272"/>
  <c r="K272"/>
  <c r="R271"/>
  <c r="N271"/>
  <c r="P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L266"/>
  <c r="K266"/>
  <c r="R265"/>
  <c r="N265"/>
  <c r="P265" s="1"/>
  <c r="L265"/>
  <c r="K265"/>
  <c r="R264"/>
  <c r="N264"/>
  <c r="P264" s="1"/>
  <c r="L264"/>
  <c r="K264"/>
  <c r="R263"/>
  <c r="N263"/>
  <c r="P263" s="1"/>
  <c r="L263"/>
  <c r="K263"/>
  <c r="R262"/>
  <c r="N262"/>
  <c r="P262" s="1"/>
  <c r="L262"/>
  <c r="K262"/>
  <c r="R261"/>
  <c r="N261"/>
  <c r="P261" s="1"/>
  <c r="L261"/>
  <c r="K261"/>
  <c r="R260"/>
  <c r="N260"/>
  <c r="P260" s="1"/>
  <c r="L260"/>
  <c r="K260"/>
  <c r="R259"/>
  <c r="N259"/>
  <c r="P259" s="1"/>
  <c r="S259" s="1"/>
  <c r="L259"/>
  <c r="K259"/>
  <c r="R258"/>
  <c r="N258"/>
  <c r="P258" s="1"/>
  <c r="L258"/>
  <c r="K258"/>
  <c r="R257"/>
  <c r="N257"/>
  <c r="P257" s="1"/>
  <c r="L257"/>
  <c r="K257"/>
  <c r="R256"/>
  <c r="N256"/>
  <c r="P256" s="1"/>
  <c r="L256"/>
  <c r="K256"/>
  <c r="R255"/>
  <c r="N255"/>
  <c r="P255" s="1"/>
  <c r="S255" s="1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L249"/>
  <c r="K249"/>
  <c r="R248"/>
  <c r="N248"/>
  <c r="P248" s="1"/>
  <c r="L248"/>
  <c r="K248"/>
  <c r="R247"/>
  <c r="N247"/>
  <c r="P247" s="1"/>
  <c r="L247"/>
  <c r="K247"/>
  <c r="R246"/>
  <c r="N246"/>
  <c r="P246" s="1"/>
  <c r="L246"/>
  <c r="K246"/>
  <c r="R245"/>
  <c r="N245"/>
  <c r="P245" s="1"/>
  <c r="L245"/>
  <c r="K245"/>
  <c r="R244"/>
  <c r="N244"/>
  <c r="P244" s="1"/>
  <c r="L244"/>
  <c r="K244"/>
  <c r="R243"/>
  <c r="N243"/>
  <c r="P243" s="1"/>
  <c r="S243" s="1"/>
  <c r="L243"/>
  <c r="K243"/>
  <c r="R242"/>
  <c r="N242"/>
  <c r="P242" s="1"/>
  <c r="L242"/>
  <c r="K242"/>
  <c r="R241"/>
  <c r="N241"/>
  <c r="P241" s="1"/>
  <c r="L241"/>
  <c r="K241"/>
  <c r="R240"/>
  <c r="N240"/>
  <c r="P240" s="1"/>
  <c r="L240"/>
  <c r="K240"/>
  <c r="R239"/>
  <c r="N239"/>
  <c r="P239" s="1"/>
  <c r="S239" s="1"/>
  <c r="L239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L232"/>
  <c r="K232"/>
  <c r="R231"/>
  <c r="N231"/>
  <c r="P231" s="1"/>
  <c r="L231"/>
  <c r="K231"/>
  <c r="R230"/>
  <c r="N230"/>
  <c r="P230" s="1"/>
  <c r="L230"/>
  <c r="K230"/>
  <c r="R229"/>
  <c r="N229"/>
  <c r="P229" s="1"/>
  <c r="L229"/>
  <c r="K229"/>
  <c r="R228"/>
  <c r="N228"/>
  <c r="P228" s="1"/>
  <c r="L228"/>
  <c r="K228"/>
  <c r="R227"/>
  <c r="N227"/>
  <c r="P227" s="1"/>
  <c r="S227" s="1"/>
  <c r="L227"/>
  <c r="K227"/>
  <c r="R226"/>
  <c r="N226"/>
  <c r="P226" s="1"/>
  <c r="L226"/>
  <c r="K226"/>
  <c r="R225"/>
  <c r="N225"/>
  <c r="P225" s="1"/>
  <c r="L225"/>
  <c r="K225"/>
  <c r="R224"/>
  <c r="N224"/>
  <c r="P224" s="1"/>
  <c r="L224"/>
  <c r="K224"/>
  <c r="R223"/>
  <c r="N223"/>
  <c r="P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L217"/>
  <c r="K217"/>
  <c r="R216"/>
  <c r="N216"/>
  <c r="P216" s="1"/>
  <c r="L216"/>
  <c r="K216"/>
  <c r="R215"/>
  <c r="N215"/>
  <c r="P215" s="1"/>
  <c r="L215"/>
  <c r="K215"/>
  <c r="M211"/>
  <c r="U210"/>
  <c r="Y210" s="1"/>
  <c r="S210"/>
  <c r="W210" s="1"/>
  <c r="Y209"/>
  <c r="W209"/>
  <c r="Y208"/>
  <c r="W208"/>
  <c r="K208"/>
  <c r="C428" s="1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N59"/>
  <c r="L59"/>
  <c r="K59"/>
  <c r="R58"/>
  <c r="P58"/>
  <c r="N58"/>
  <c r="L58"/>
  <c r="V58" s="1" a="1"/>
  <c r="V58" s="1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437"/>
  <c r="U451" s="1" a="1"/>
  <c r="U451" s="1"/>
  <c r="P450"/>
  <c r="O450"/>
  <c r="N450"/>
  <c r="M450"/>
  <c r="L450"/>
  <c r="K450"/>
  <c r="I450"/>
  <c r="H450"/>
  <c r="G450"/>
  <c r="F450"/>
  <c r="E450"/>
  <c r="D452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M420"/>
  <c r="U419"/>
  <c r="Y419" s="1"/>
  <c r="S419"/>
  <c r="W419" s="1"/>
  <c r="AA417"/>
  <c r="K417"/>
  <c r="G420" s="1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P379"/>
  <c r="S379" s="1"/>
  <c r="N379"/>
  <c r="L379"/>
  <c r="K379"/>
  <c r="R378"/>
  <c r="P378"/>
  <c r="N378"/>
  <c r="L378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N268"/>
  <c r="P268" s="1"/>
  <c r="S268" s="1"/>
  <c r="L268"/>
  <c r="K268"/>
  <c r="R267"/>
  <c r="P267"/>
  <c r="N267"/>
  <c r="L267"/>
  <c r="K267"/>
  <c r="R266"/>
  <c r="N266"/>
  <c r="P266" s="1"/>
  <c r="S266" s="1"/>
  <c r="L266"/>
  <c r="K266"/>
  <c r="R265"/>
  <c r="P265"/>
  <c r="N265"/>
  <c r="L265"/>
  <c r="V265" s="1" a="1"/>
  <c r="V265" s="1"/>
  <c r="K265"/>
  <c r="R264"/>
  <c r="P264"/>
  <c r="S264" s="1"/>
  <c r="N264"/>
  <c r="L264"/>
  <c r="K264"/>
  <c r="R263"/>
  <c r="N263"/>
  <c r="P263" s="1"/>
  <c r="S263" s="1"/>
  <c r="L263"/>
  <c r="K263"/>
  <c r="R262"/>
  <c r="N262"/>
  <c r="P262" s="1"/>
  <c r="S262" s="1"/>
  <c r="L262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V253" s="1" a="1"/>
  <c r="V253" s="1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S246" s="1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M211"/>
  <c r="U210"/>
  <c r="Y210" s="1"/>
  <c r="S210"/>
  <c r="W210" s="1"/>
  <c r="Y209"/>
  <c r="W209"/>
  <c r="Y208"/>
  <c r="W208"/>
  <c r="K208"/>
  <c r="C428" s="1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P170"/>
  <c r="N170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P54"/>
  <c r="N54"/>
  <c r="L54"/>
  <c r="V54" s="1" a="1"/>
  <c r="V54" s="1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435"/>
  <c r="U451" s="1" a="1"/>
  <c r="U451" s="1"/>
  <c r="P450"/>
  <c r="O450"/>
  <c r="N450"/>
  <c r="M450"/>
  <c r="L450"/>
  <c r="K450"/>
  <c r="I450"/>
  <c r="H450"/>
  <c r="G450"/>
  <c r="F450"/>
  <c r="E450"/>
  <c r="D452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M420"/>
  <c r="U419"/>
  <c r="Y419" s="1"/>
  <c r="S419"/>
  <c r="W419" s="1"/>
  <c r="AA417"/>
  <c r="K417"/>
  <c r="G420" s="1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K406"/>
  <c r="R405"/>
  <c r="P405"/>
  <c r="S405" s="1"/>
  <c r="N405"/>
  <c r="L405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P324"/>
  <c r="N324"/>
  <c r="L324"/>
  <c r="K324"/>
  <c r="R323"/>
  <c r="P323"/>
  <c r="S323" s="1"/>
  <c r="N323"/>
  <c r="L323"/>
  <c r="K323"/>
  <c r="R322"/>
  <c r="P322"/>
  <c r="N322"/>
  <c r="L322"/>
  <c r="K322"/>
  <c r="R321"/>
  <c r="N321"/>
  <c r="P321" s="1"/>
  <c r="S321" s="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N272"/>
  <c r="L272"/>
  <c r="K272"/>
  <c r="V272" s="1" a="1"/>
  <c r="V272" s="1"/>
  <c r="R271"/>
  <c r="P271"/>
  <c r="N271"/>
  <c r="L271"/>
  <c r="K271"/>
  <c r="R270"/>
  <c r="P270"/>
  <c r="N270"/>
  <c r="L270"/>
  <c r="K270"/>
  <c r="R269"/>
  <c r="N269"/>
  <c r="P269" s="1"/>
  <c r="S269" s="1"/>
  <c r="L269"/>
  <c r="K269"/>
  <c r="R268"/>
  <c r="N268"/>
  <c r="P268" s="1"/>
  <c r="S268" s="1"/>
  <c r="L268"/>
  <c r="V268" s="1" a="1"/>
  <c r="V268" s="1"/>
  <c r="K268"/>
  <c r="R267"/>
  <c r="N267"/>
  <c r="P267" s="1"/>
  <c r="S267" s="1"/>
  <c r="L267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V262" s="1" a="1"/>
  <c r="V262" s="1"/>
  <c r="K262"/>
  <c r="R261"/>
  <c r="P261"/>
  <c r="S261" s="1"/>
  <c r="N261"/>
  <c r="L261"/>
  <c r="V261" s="1" a="1"/>
  <c r="V261" s="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V253" s="1" a="1"/>
  <c r="V253" s="1"/>
  <c r="K253"/>
  <c r="R252"/>
  <c r="P252"/>
  <c r="N252"/>
  <c r="L252"/>
  <c r="K252"/>
  <c r="R251"/>
  <c r="P251"/>
  <c r="N25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M211"/>
  <c r="U210"/>
  <c r="Y210" s="1"/>
  <c r="S210"/>
  <c r="W210" s="1"/>
  <c r="Y209"/>
  <c r="W209"/>
  <c r="Y208"/>
  <c r="W208"/>
  <c r="K208"/>
  <c r="C428" s="1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N49"/>
  <c r="L49"/>
  <c r="K49"/>
  <c r="R48"/>
  <c r="P48"/>
  <c r="N48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P42"/>
  <c r="N42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434"/>
  <c r="U451" s="1" a="1"/>
  <c r="U451" s="1"/>
  <c r="P450"/>
  <c r="O450"/>
  <c r="N450"/>
  <c r="M450"/>
  <c r="L450"/>
  <c r="K450"/>
  <c r="I450"/>
  <c r="H450"/>
  <c r="G450"/>
  <c r="F450"/>
  <c r="E450"/>
  <c r="D452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Y419" s="1"/>
  <c r="S419"/>
  <c r="W419" s="1"/>
  <c r="AA418"/>
  <c r="AA417"/>
  <c r="K417"/>
  <c r="G420" s="1"/>
  <c r="AA416"/>
  <c r="K416"/>
  <c r="AA415"/>
  <c r="K415"/>
  <c r="AA414"/>
  <c r="AA413"/>
  <c r="I413"/>
  <c r="K413" s="1" a="1"/>
  <c r="K413" s="1"/>
  <c r="AA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P319"/>
  <c r="N319"/>
  <c r="L319"/>
  <c r="K319"/>
  <c r="V319" s="1" a="1"/>
  <c r="V319" s="1"/>
  <c r="R318"/>
  <c r="P318"/>
  <c r="S318" s="1"/>
  <c r="N318"/>
  <c r="L318"/>
  <c r="K318"/>
  <c r="R317"/>
  <c r="N317"/>
  <c r="P317" s="1"/>
  <c r="S317" s="1"/>
  <c r="L317"/>
  <c r="K317"/>
  <c r="R316"/>
  <c r="N316"/>
  <c r="P316" s="1"/>
  <c r="S316" s="1"/>
  <c r="L316"/>
  <c r="K316"/>
  <c r="R315"/>
  <c r="N315"/>
  <c r="P315" s="1"/>
  <c r="S315" s="1"/>
  <c r="L315"/>
  <c r="K315"/>
  <c r="R314"/>
  <c r="P314"/>
  <c r="N314"/>
  <c r="L314"/>
  <c r="K314"/>
  <c r="R313"/>
  <c r="P313"/>
  <c r="N313"/>
  <c r="L313"/>
  <c r="K313"/>
  <c r="R312"/>
  <c r="P312"/>
  <c r="S312" s="1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K309"/>
  <c r="R308"/>
  <c r="P308"/>
  <c r="S308" s="1"/>
  <c r="N308"/>
  <c r="L308"/>
  <c r="K308"/>
  <c r="R307"/>
  <c r="N307"/>
  <c r="P307" s="1"/>
  <c r="S307" s="1"/>
  <c r="L307"/>
  <c r="K307"/>
  <c r="R306"/>
  <c r="N306"/>
  <c r="P306" s="1"/>
  <c r="S306" s="1"/>
  <c r="L306"/>
  <c r="K306"/>
  <c r="R305"/>
  <c r="P305"/>
  <c r="S305" s="1"/>
  <c r="N305"/>
  <c r="L305"/>
  <c r="K305"/>
  <c r="R304"/>
  <c r="P304"/>
  <c r="S304" s="1"/>
  <c r="N304"/>
  <c r="L304"/>
  <c r="K304"/>
  <c r="R303"/>
  <c r="N303"/>
  <c r="P303" s="1"/>
  <c r="S303" s="1"/>
  <c r="L303"/>
  <c r="K303"/>
  <c r="R302"/>
  <c r="N302"/>
  <c r="P302" s="1"/>
  <c r="S302" s="1"/>
  <c r="L302"/>
  <c r="K302"/>
  <c r="R301"/>
  <c r="P301"/>
  <c r="S301" s="1"/>
  <c r="N301"/>
  <c r="L301"/>
  <c r="K301"/>
  <c r="R300"/>
  <c r="P300"/>
  <c r="S300" s="1"/>
  <c r="N300"/>
  <c r="L300"/>
  <c r="K300"/>
  <c r="R299"/>
  <c r="N299"/>
  <c r="P299" s="1"/>
  <c r="S299" s="1"/>
  <c r="L299"/>
  <c r="K299"/>
  <c r="R298"/>
  <c r="N298"/>
  <c r="P298" s="1"/>
  <c r="S298" s="1"/>
  <c r="L298"/>
  <c r="K298"/>
  <c r="R297"/>
  <c r="P297"/>
  <c r="S297" s="1"/>
  <c r="N297"/>
  <c r="L297"/>
  <c r="K297"/>
  <c r="R296"/>
  <c r="N296"/>
  <c r="P296" s="1"/>
  <c r="S296" s="1"/>
  <c r="L296"/>
  <c r="K296"/>
  <c r="R295"/>
  <c r="P295"/>
  <c r="S295" s="1"/>
  <c r="N295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K286"/>
  <c r="R285"/>
  <c r="P285"/>
  <c r="S285" s="1"/>
  <c r="N285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P266"/>
  <c r="S266" s="1"/>
  <c r="N266"/>
  <c r="L266"/>
  <c r="K266"/>
  <c r="R265"/>
  <c r="P265"/>
  <c r="S265" s="1"/>
  <c r="N265"/>
  <c r="L265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K250"/>
  <c r="R249"/>
  <c r="N249"/>
  <c r="P249" s="1"/>
  <c r="S249" s="1"/>
  <c r="L249"/>
  <c r="K249"/>
  <c r="R248"/>
  <c r="P248"/>
  <c r="N248"/>
  <c r="L248"/>
  <c r="K248"/>
  <c r="V248" s="1" a="1"/>
  <c r="V248" s="1"/>
  <c r="R247"/>
  <c r="N247"/>
  <c r="P247" s="1"/>
  <c r="S247" s="1"/>
  <c r="L247"/>
  <c r="K247"/>
  <c r="R246"/>
  <c r="N246"/>
  <c r="P246" s="1"/>
  <c r="S246" s="1"/>
  <c r="L246"/>
  <c r="K246"/>
  <c r="R245"/>
  <c r="P245"/>
  <c r="N245"/>
  <c r="L245"/>
  <c r="K245"/>
  <c r="V245" s="1" a="1"/>
  <c r="V245" s="1"/>
  <c r="R244"/>
  <c r="N244"/>
  <c r="P244" s="1"/>
  <c r="S244" s="1"/>
  <c r="L244"/>
  <c r="K244"/>
  <c r="R243"/>
  <c r="N243"/>
  <c r="P243" s="1"/>
  <c r="S243" s="1"/>
  <c r="L243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K236"/>
  <c r="R235"/>
  <c r="P235"/>
  <c r="S235" s="1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K232"/>
  <c r="R231"/>
  <c r="P231"/>
  <c r="S231" s="1"/>
  <c r="N231"/>
  <c r="L23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K228"/>
  <c r="R227"/>
  <c r="P227"/>
  <c r="S227" s="1"/>
  <c r="N227"/>
  <c r="L227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N222"/>
  <c r="L222"/>
  <c r="K222"/>
  <c r="R221"/>
  <c r="N221"/>
  <c r="P221" s="1"/>
  <c r="S221" s="1"/>
  <c r="L221"/>
  <c r="K221"/>
  <c r="R220"/>
  <c r="N220"/>
  <c r="P220" s="1"/>
  <c r="S220" s="1"/>
  <c r="L220"/>
  <c r="K220"/>
  <c r="R219"/>
  <c r="P219"/>
  <c r="S219" s="1"/>
  <c r="N219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W210"/>
  <c r="Y209"/>
  <c r="W209"/>
  <c r="Y208"/>
  <c r="W208"/>
  <c r="K208"/>
  <c r="C428" s="1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V104" s="1" a="1"/>
  <c r="V104" s="1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P40"/>
  <c r="N40"/>
  <c r="L40"/>
  <c r="K40"/>
  <c r="R39"/>
  <c r="P39"/>
  <c r="N39"/>
  <c r="L39"/>
  <c r="K39"/>
  <c r="V39" s="1" a="1"/>
  <c r="V39" s="1"/>
  <c r="R38"/>
  <c r="P38"/>
  <c r="N38"/>
  <c r="L38"/>
  <c r="K38"/>
  <c r="V38" s="1" a="1"/>
  <c r="V38" s="1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N12"/>
  <c r="L12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433"/>
  <c r="U451" s="1" a="1"/>
  <c r="U451" s="1"/>
  <c r="P450"/>
  <c r="O450"/>
  <c r="N450"/>
  <c r="M450"/>
  <c r="L450"/>
  <c r="K450"/>
  <c r="I450"/>
  <c r="H450"/>
  <c r="G450"/>
  <c r="F450"/>
  <c r="E450"/>
  <c r="D452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M420"/>
  <c r="U419"/>
  <c r="Y419" s="1"/>
  <c r="S419"/>
  <c r="W419" s="1"/>
  <c r="K417"/>
  <c r="G420" s="1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N294"/>
  <c r="L294"/>
  <c r="K294"/>
  <c r="R293"/>
  <c r="P293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P258"/>
  <c r="N258"/>
  <c r="L258"/>
  <c r="K258"/>
  <c r="R257"/>
  <c r="N257"/>
  <c r="P257" s="1"/>
  <c r="S257" s="1"/>
  <c r="L257"/>
  <c r="K257"/>
  <c r="R256"/>
  <c r="P256"/>
  <c r="N256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P246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N235"/>
  <c r="P235" s="1"/>
  <c r="S235" s="1"/>
  <c r="L235"/>
  <c r="K235"/>
  <c r="R234"/>
  <c r="P234"/>
  <c r="N234"/>
  <c r="L234"/>
  <c r="V234" s="1" a="1"/>
  <c r="V234" s="1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N227"/>
  <c r="P227" s="1"/>
  <c r="S227" s="1"/>
  <c r="L227"/>
  <c r="K227"/>
  <c r="R226"/>
  <c r="N226"/>
  <c r="P226" s="1"/>
  <c r="S226" s="1"/>
  <c r="L226"/>
  <c r="K226"/>
  <c r="R225"/>
  <c r="N225"/>
  <c r="P225" s="1"/>
  <c r="S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V216" s="1" a="1"/>
  <c r="V216" s="1"/>
  <c r="K216"/>
  <c r="R215"/>
  <c r="N215"/>
  <c r="P215" s="1"/>
  <c r="L215"/>
  <c r="K215"/>
  <c r="M211"/>
  <c r="U210"/>
  <c r="Y210" s="1"/>
  <c r="S210"/>
  <c r="W210" s="1"/>
  <c r="Y209"/>
  <c r="W209"/>
  <c r="Y208"/>
  <c r="W208"/>
  <c r="K208"/>
  <c r="C428" s="1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P110"/>
  <c r="N110"/>
  <c r="L110"/>
  <c r="K110"/>
  <c r="V110" s="1" a="1"/>
  <c r="V110" s="1"/>
  <c r="R109"/>
  <c r="P109"/>
  <c r="S109" s="1"/>
  <c r="N109"/>
  <c r="L109"/>
  <c r="K109"/>
  <c r="R108"/>
  <c r="N108"/>
  <c r="P108" s="1"/>
  <c r="S108" s="1"/>
  <c r="L108"/>
  <c r="K108"/>
  <c r="R107"/>
  <c r="P107"/>
  <c r="N107"/>
  <c r="L107"/>
  <c r="K107"/>
  <c r="R106"/>
  <c r="P106"/>
  <c r="N106"/>
  <c r="L106"/>
  <c r="V106" s="1" a="1"/>
  <c r="V106" s="1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N87"/>
  <c r="L87"/>
  <c r="K87"/>
  <c r="R86"/>
  <c r="P86"/>
  <c r="N86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P46"/>
  <c r="N46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P36"/>
  <c r="N36"/>
  <c r="L36"/>
  <c r="K36"/>
  <c r="R35"/>
  <c r="P35"/>
  <c r="S35" s="1"/>
  <c r="N35"/>
  <c r="L35"/>
  <c r="V35" s="1" a="1"/>
  <c r="V35" s="1"/>
  <c r="K35"/>
  <c r="R34"/>
  <c r="P34"/>
  <c r="N34"/>
  <c r="L34"/>
  <c r="V34" s="1" a="1"/>
  <c r="V34" s="1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P26"/>
  <c r="N26"/>
  <c r="L26"/>
  <c r="V26" s="1" a="1"/>
  <c r="V26" s="1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43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P451" i="426"/>
  <c r="O451"/>
  <c r="N451"/>
  <c r="M451"/>
  <c r="L451"/>
  <c r="K451"/>
  <c r="E451"/>
  <c r="F451"/>
  <c r="G451"/>
  <c r="H451"/>
  <c r="I451"/>
  <c r="P449"/>
  <c r="O449"/>
  <c r="N449"/>
  <c r="M449"/>
  <c r="L449"/>
  <c r="K449"/>
  <c r="P448"/>
  <c r="O448"/>
  <c r="N448"/>
  <c r="M448"/>
  <c r="L448"/>
  <c r="K448"/>
  <c r="P447"/>
  <c r="O447"/>
  <c r="N447"/>
  <c r="M447"/>
  <c r="L447"/>
  <c r="K447"/>
  <c r="P446"/>
  <c r="O446"/>
  <c r="N446"/>
  <c r="M446"/>
  <c r="L446"/>
  <c r="K446"/>
  <c r="P445"/>
  <c r="O445"/>
  <c r="N445"/>
  <c r="M445"/>
  <c r="L445"/>
  <c r="K445"/>
  <c r="P444"/>
  <c r="O444"/>
  <c r="N444"/>
  <c r="M444"/>
  <c r="L444"/>
  <c r="K444"/>
  <c r="I449"/>
  <c r="H449"/>
  <c r="G449"/>
  <c r="F449"/>
  <c r="E449"/>
  <c r="I448"/>
  <c r="H448"/>
  <c r="G448"/>
  <c r="F448"/>
  <c r="E448"/>
  <c r="I447"/>
  <c r="H447"/>
  <c r="G447"/>
  <c r="F447"/>
  <c r="E447"/>
  <c r="I446"/>
  <c r="H446"/>
  <c r="G446"/>
  <c r="F446"/>
  <c r="E446"/>
  <c r="I445"/>
  <c r="H445"/>
  <c r="G445"/>
  <c r="F445"/>
  <c r="E445"/>
  <c r="I444"/>
  <c r="H444"/>
  <c r="G444"/>
  <c r="F444"/>
  <c r="E444"/>
  <c r="P442"/>
  <c r="O442"/>
  <c r="N442"/>
  <c r="M442"/>
  <c r="L442"/>
  <c r="K442"/>
  <c r="P441"/>
  <c r="O441"/>
  <c r="N441"/>
  <c r="M441"/>
  <c r="L441"/>
  <c r="K441"/>
  <c r="P440"/>
  <c r="O440"/>
  <c r="N440"/>
  <c r="M440"/>
  <c r="L440"/>
  <c r="K440"/>
  <c r="P439"/>
  <c r="O439"/>
  <c r="N439"/>
  <c r="M439"/>
  <c r="L439"/>
  <c r="K439"/>
  <c r="P438"/>
  <c r="O438"/>
  <c r="N438"/>
  <c r="M438"/>
  <c r="L438"/>
  <c r="K438"/>
  <c r="P437"/>
  <c r="O437"/>
  <c r="N437"/>
  <c r="M437"/>
  <c r="L437"/>
  <c r="K437"/>
  <c r="E438"/>
  <c r="F438"/>
  <c r="G438"/>
  <c r="H438"/>
  <c r="I438"/>
  <c r="E439"/>
  <c r="F439"/>
  <c r="G439"/>
  <c r="H439"/>
  <c r="I439"/>
  <c r="E440"/>
  <c r="F440"/>
  <c r="G440"/>
  <c r="H440"/>
  <c r="I440"/>
  <c r="E441"/>
  <c r="F441"/>
  <c r="G441"/>
  <c r="H441"/>
  <c r="I441"/>
  <c r="E442"/>
  <c r="F442"/>
  <c r="G442"/>
  <c r="H442"/>
  <c r="I442"/>
  <c r="E437"/>
  <c r="F437"/>
  <c r="G437"/>
  <c r="H437"/>
  <c r="I437"/>
  <c r="S413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G417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H215"/>
  <c r="I215"/>
  <c r="J215"/>
  <c r="G215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I206"/>
  <c r="G206"/>
  <c r="E203"/>
  <c r="G203"/>
  <c r="E204"/>
  <c r="G204"/>
  <c r="G202"/>
  <c r="E202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X6"/>
  <c r="Y6"/>
  <c r="Z6"/>
  <c r="AA6"/>
  <c r="AB6"/>
  <c r="AC6"/>
  <c r="W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H6"/>
  <c r="I6"/>
  <c r="J6"/>
  <c r="G6"/>
  <c r="V227" i="438" l="1" a="1"/>
  <c r="V227" s="1"/>
  <c r="S228"/>
  <c r="S231"/>
  <c r="V243" a="1"/>
  <c r="V243" s="1"/>
  <c r="S244"/>
  <c r="S245"/>
  <c r="S246"/>
  <c r="S247"/>
  <c r="V259" a="1"/>
  <c r="V259" s="1"/>
  <c r="S260"/>
  <c r="S263"/>
  <c r="S276"/>
  <c r="S277"/>
  <c r="S279"/>
  <c r="V291" a="1"/>
  <c r="V291" s="1"/>
  <c r="S292"/>
  <c r="S293"/>
  <c r="S294"/>
  <c r="V306" a="1"/>
  <c r="V306" s="1"/>
  <c r="S307"/>
  <c r="S310"/>
  <c r="V320" a="1"/>
  <c r="V320" s="1"/>
  <c r="S321"/>
  <c r="S324"/>
  <c r="V335" a="1"/>
  <c r="V335" s="1"/>
  <c r="S336"/>
  <c r="S339"/>
  <c r="V350" a="1"/>
  <c r="V350" s="1"/>
  <c r="S351"/>
  <c r="S352"/>
  <c r="S353"/>
  <c r="S355"/>
  <c r="S368"/>
  <c r="S369"/>
  <c r="S371"/>
  <c r="V382" a="1"/>
  <c r="V382" s="1"/>
  <c r="S383"/>
  <c r="S384"/>
  <c r="S385"/>
  <c r="S386"/>
  <c r="V398" a="1"/>
  <c r="V398" s="1"/>
  <c r="S399"/>
  <c r="S400"/>
  <c r="S401"/>
  <c r="S403"/>
  <c r="S216"/>
  <c r="S217"/>
  <c r="V222" a="1"/>
  <c r="V222" s="1"/>
  <c r="S223"/>
  <c r="S224"/>
  <c r="V231" a="1"/>
  <c r="V231" s="1"/>
  <c r="S232"/>
  <c r="V239" a="1"/>
  <c r="V239" s="1"/>
  <c r="S240"/>
  <c r="S241"/>
  <c r="S242"/>
  <c r="S248"/>
  <c r="S249"/>
  <c r="S256"/>
  <c r="S257"/>
  <c r="V263" a="1"/>
  <c r="V263" s="1"/>
  <c r="S264"/>
  <c r="V272" a="1"/>
  <c r="V272" s="1"/>
  <c r="S273"/>
  <c r="V279" a="1"/>
  <c r="V279" s="1"/>
  <c r="S280"/>
  <c r="V287" a="1"/>
  <c r="V287" s="1"/>
  <c r="S288"/>
  <c r="S295"/>
  <c r="S296"/>
  <c r="V302" a="1"/>
  <c r="V302" s="1"/>
  <c r="S303"/>
  <c r="V310" a="1"/>
  <c r="V310" s="1"/>
  <c r="S311"/>
  <c r="V316" a="1"/>
  <c r="V316" s="1"/>
  <c r="S317"/>
  <c r="S318"/>
  <c r="V324" a="1"/>
  <c r="V324" s="1"/>
  <c r="S325"/>
  <c r="S332"/>
  <c r="S333"/>
  <c r="S340"/>
  <c r="S341"/>
  <c r="V346" a="1"/>
  <c r="V346" s="1"/>
  <c r="S347"/>
  <c r="S348"/>
  <c r="S349"/>
  <c r="V355" a="1"/>
  <c r="V355" s="1"/>
  <c r="S356"/>
  <c r="S364"/>
  <c r="S365"/>
  <c r="S372"/>
  <c r="S373"/>
  <c r="V378" a="1"/>
  <c r="V378" s="1"/>
  <c r="S379"/>
  <c r="S380"/>
  <c r="S381"/>
  <c r="V386" a="1"/>
  <c r="V386" s="1"/>
  <c r="S387"/>
  <c r="S388"/>
  <c r="S389"/>
  <c r="V394" a="1"/>
  <c r="V394" s="1"/>
  <c r="S395"/>
  <c r="S396"/>
  <c r="S397"/>
  <c r="S404"/>
  <c r="S405"/>
  <c r="AA412"/>
  <c r="AA414"/>
  <c r="AA416"/>
  <c r="AA418"/>
  <c r="AA419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V242" a="1"/>
  <c r="V242" s="1"/>
  <c r="V246" a="1"/>
  <c r="V246" s="1"/>
  <c r="S250"/>
  <c r="V252" a="1"/>
  <c r="V252" s="1"/>
  <c r="S253"/>
  <c r="S254"/>
  <c r="S258"/>
  <c r="V260" a="1"/>
  <c r="V260" s="1"/>
  <c r="S261"/>
  <c r="S262"/>
  <c r="V264" a="1"/>
  <c r="V264" s="1"/>
  <c r="S265"/>
  <c r="S266"/>
  <c r="S271"/>
  <c r="V273" a="1"/>
  <c r="V273" s="1"/>
  <c r="S274"/>
  <c r="S278"/>
  <c r="V280" a="1"/>
  <c r="V280" s="1"/>
  <c r="S281"/>
  <c r="S282"/>
  <c r="V284" a="1"/>
  <c r="V284" s="1"/>
  <c r="S285"/>
  <c r="S286"/>
  <c r="V288" a="1"/>
  <c r="V288" s="1"/>
  <c r="S289"/>
  <c r="S290"/>
  <c r="V293" a="1"/>
  <c r="V293" s="1"/>
  <c r="S297"/>
  <c r="V299" a="1"/>
  <c r="V299" s="1"/>
  <c r="S300"/>
  <c r="S301"/>
  <c r="V303" a="1"/>
  <c r="V303" s="1"/>
  <c r="S304"/>
  <c r="S305"/>
  <c r="V307" a="1"/>
  <c r="V307" s="1"/>
  <c r="S308"/>
  <c r="S309"/>
  <c r="V311" a="1"/>
  <c r="V311" s="1"/>
  <c r="S312"/>
  <c r="V315" a="1"/>
  <c r="V315" s="1"/>
  <c r="S319"/>
  <c r="V321" a="1"/>
  <c r="V321" s="1"/>
  <c r="S322"/>
  <c r="S323"/>
  <c r="V325" a="1"/>
  <c r="V325" s="1"/>
  <c r="S326"/>
  <c r="S327"/>
  <c r="V329" a="1"/>
  <c r="V329" s="1"/>
  <c r="S330"/>
  <c r="S334"/>
  <c r="V336" a="1"/>
  <c r="V336" s="1"/>
  <c r="S337"/>
  <c r="S338"/>
  <c r="V341" a="1"/>
  <c r="V341" s="1"/>
  <c r="V345" a="1"/>
  <c r="V345" s="1"/>
  <c r="V349" a="1"/>
  <c r="V349" s="1"/>
  <c r="S354"/>
  <c r="V356" a="1"/>
  <c r="V356" s="1"/>
  <c r="S357"/>
  <c r="S358"/>
  <c r="S362"/>
  <c r="S366"/>
  <c r="S370"/>
  <c r="S374"/>
  <c r="V377" a="1"/>
  <c r="V377" s="1"/>
  <c r="V381" a="1"/>
  <c r="V381" s="1"/>
  <c r="V385" a="1"/>
  <c r="V385" s="1"/>
  <c r="V389" a="1"/>
  <c r="V389" s="1"/>
  <c r="V393" a="1"/>
  <c r="V393" s="1"/>
  <c r="V397" a="1"/>
  <c r="V397" s="1"/>
  <c r="S402"/>
  <c r="V405" a="1"/>
  <c r="V405" s="1"/>
  <c r="AA413"/>
  <c r="AA415"/>
  <c r="AA417"/>
  <c r="M420"/>
  <c r="AA208"/>
  <c r="AA206"/>
  <c r="AA203"/>
  <c r="AA209"/>
  <c r="S141"/>
  <c r="S59"/>
  <c r="S58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K434"/>
  <c r="O434" s="1" a="1"/>
  <c r="O434" s="1"/>
  <c r="K433"/>
  <c r="O433" s="1" a="1"/>
  <c r="O433" s="1"/>
  <c r="K432"/>
  <c r="O432" s="1" a="1"/>
  <c r="O432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R199"/>
  <c r="G424" s="1"/>
  <c r="V62" a="1"/>
  <c r="V62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9" a="1"/>
  <c r="V59" s="1"/>
  <c r="K199" a="1"/>
  <c r="K199" s="1"/>
  <c r="V141" a="1"/>
  <c r="V141" s="1"/>
  <c r="S378" i="437"/>
  <c r="S346"/>
  <c r="S267"/>
  <c r="S265"/>
  <c r="C443"/>
  <c r="U443" s="1" a="1"/>
  <c r="U443" s="1"/>
  <c r="I452"/>
  <c r="AA208"/>
  <c r="AA206"/>
  <c r="S170"/>
  <c r="S169"/>
  <c r="S54"/>
  <c r="S63"/>
  <c r="AA412"/>
  <c r="AA418"/>
  <c r="AA419"/>
  <c r="AA203"/>
  <c r="AA209"/>
  <c r="K434"/>
  <c r="O434" s="1" a="1"/>
  <c r="O434" s="1"/>
  <c r="K433"/>
  <c r="O433" s="1" a="1"/>
  <c r="O433" s="1"/>
  <c r="K432"/>
  <c r="O432" s="1" a="1"/>
  <c r="O432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R408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V252" a="1"/>
  <c r="V252" s="1"/>
  <c r="V259" a="1"/>
  <c r="V259" s="1"/>
  <c r="V260" a="1"/>
  <c r="V26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R199"/>
  <c r="V56" a="1"/>
  <c r="V56" s="1"/>
  <c r="V58" a="1"/>
  <c r="V58" s="1"/>
  <c r="V62" a="1"/>
  <c r="V6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261" a="1"/>
  <c r="V261" s="1"/>
  <c r="V262" a="1"/>
  <c r="V262" s="1"/>
  <c r="V268" a="1"/>
  <c r="V268" s="1"/>
  <c r="V378" a="1"/>
  <c r="V378" s="1"/>
  <c r="K408" a="1"/>
  <c r="K408" s="1"/>
  <c r="V379" a="1"/>
  <c r="V379" s="1"/>
  <c r="V59" a="1"/>
  <c r="V59" s="1"/>
  <c r="P408"/>
  <c r="V263" a="1"/>
  <c r="V263" s="1"/>
  <c r="V264" a="1"/>
  <c r="V264" s="1"/>
  <c r="V267" a="1"/>
  <c r="V267" s="1"/>
  <c r="V272" a="1"/>
  <c r="V272" s="1"/>
  <c r="V55" a="1"/>
  <c r="V55" s="1"/>
  <c r="V63" a="1"/>
  <c r="V63" s="1"/>
  <c r="V170" a="1"/>
  <c r="V170" s="1"/>
  <c r="K199" a="1"/>
  <c r="K199" s="1"/>
  <c r="V169" a="1"/>
  <c r="V169" s="1"/>
  <c r="V42" i="435" a="1"/>
  <c r="V42" s="1"/>
  <c r="S324"/>
  <c r="S322"/>
  <c r="S272"/>
  <c r="S271"/>
  <c r="S270"/>
  <c r="S252"/>
  <c r="S251"/>
  <c r="I452"/>
  <c r="V259" a="1"/>
  <c r="V259" s="1"/>
  <c r="V260" a="1"/>
  <c r="V260" s="1"/>
  <c r="V263" a="1"/>
  <c r="V263" s="1"/>
  <c r="V264" a="1"/>
  <c r="V264" s="1"/>
  <c r="V267" a="1"/>
  <c r="V267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P408"/>
  <c r="V239" a="1"/>
  <c r="V239" s="1"/>
  <c r="V242" a="1"/>
  <c r="V242" s="1"/>
  <c r="V243" a="1"/>
  <c r="V243" s="1"/>
  <c r="V246" a="1"/>
  <c r="V246" s="1"/>
  <c r="K408" a="1"/>
  <c r="K408" s="1"/>
  <c r="V408" s="1" a="1"/>
  <c r="V408" s="1"/>
  <c r="V252" a="1"/>
  <c r="V252" s="1"/>
  <c r="V251" a="1"/>
  <c r="V251" s="1"/>
  <c r="S37"/>
  <c r="S113"/>
  <c r="S61"/>
  <c r="S48"/>
  <c r="S49"/>
  <c r="S42"/>
  <c r="C443"/>
  <c r="U443" s="1" a="1"/>
  <c r="U443" s="1"/>
  <c r="AA208"/>
  <c r="AA206"/>
  <c r="K434"/>
  <c r="O434" s="1" a="1"/>
  <c r="O434" s="1"/>
  <c r="K433"/>
  <c r="O433" s="1" a="1"/>
  <c r="O433" s="1"/>
  <c r="K432"/>
  <c r="O432" s="1" a="1"/>
  <c r="O432" s="1"/>
  <c r="O409" a="1"/>
  <c r="O409" s="1"/>
  <c r="AA412"/>
  <c r="AA418"/>
  <c r="AA419"/>
  <c r="AA203"/>
  <c r="AA209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62" a="1"/>
  <c r="V62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44" a="1"/>
  <c r="V44" s="1"/>
  <c r="R199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113" a="1"/>
  <c r="V113" s="1"/>
  <c r="K199" a="1"/>
  <c r="K199" s="1"/>
  <c r="V37" a="1"/>
  <c r="V37" s="1"/>
  <c r="I452" i="433"/>
  <c r="S294"/>
  <c r="S293"/>
  <c r="S258"/>
  <c r="S256"/>
  <c r="S236"/>
  <c r="S234"/>
  <c r="S246"/>
  <c r="AA417"/>
  <c r="AA415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51" a="1"/>
  <c r="V251" s="1"/>
  <c r="V252" a="1"/>
  <c r="V252" s="1"/>
  <c r="V250" a="1"/>
  <c r="V250" s="1"/>
  <c r="V253" a="1"/>
  <c r="V253" s="1"/>
  <c r="V254" a="1"/>
  <c r="V254" s="1"/>
  <c r="R408"/>
  <c r="V237" a="1"/>
  <c r="V237" s="1"/>
  <c r="V240" a="1"/>
  <c r="V240" s="1"/>
  <c r="V241" a="1"/>
  <c r="V241" s="1"/>
  <c r="V244" a="1"/>
  <c r="V244" s="1"/>
  <c r="V245" a="1"/>
  <c r="V245" s="1"/>
  <c r="V235" a="1"/>
  <c r="V235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46" a="1"/>
  <c r="V246" s="1"/>
  <c r="V236" a="1"/>
  <c r="V236" s="1"/>
  <c r="P408"/>
  <c r="O409" s="1" a="1"/>
  <c r="O409" s="1"/>
  <c r="S86"/>
  <c r="S87"/>
  <c r="S106"/>
  <c r="S107"/>
  <c r="S110"/>
  <c r="S46"/>
  <c r="S26"/>
  <c r="S34"/>
  <c r="S36"/>
  <c r="V36" a="1"/>
  <c r="V36" s="1"/>
  <c r="AA208"/>
  <c r="AA206"/>
  <c r="AA205"/>
  <c r="AA412"/>
  <c r="AA418"/>
  <c r="AA419"/>
  <c r="AA203"/>
  <c r="AA209"/>
  <c r="K434"/>
  <c r="O434" s="1" a="1"/>
  <c r="O434" s="1"/>
  <c r="K433"/>
  <c r="O433" s="1" a="1"/>
  <c r="O433" s="1"/>
  <c r="K432"/>
  <c r="O432" s="1" a="1"/>
  <c r="O432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42" a="1"/>
  <c r="V42" s="1"/>
  <c r="V44" a="1"/>
  <c r="V44" s="1"/>
  <c r="R199"/>
  <c r="V28" a="1"/>
  <c r="V28" s="1"/>
  <c r="V30" a="1"/>
  <c r="V30" s="1"/>
  <c r="V32" a="1"/>
  <c r="V3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K199" a="1"/>
  <c r="K199" s="1"/>
  <c r="V107" a="1"/>
  <c r="V107" s="1"/>
  <c r="K408" a="1"/>
  <c r="K408" s="1"/>
  <c r="M420" i="434"/>
  <c r="V11" a="1"/>
  <c r="V11" s="1"/>
  <c r="K452"/>
  <c r="I452"/>
  <c r="S319"/>
  <c r="S314"/>
  <c r="S313"/>
  <c r="S245"/>
  <c r="S242"/>
  <c r="S248"/>
  <c r="S222"/>
  <c r="S218"/>
  <c r="AA208"/>
  <c r="AA206"/>
  <c r="S104"/>
  <c r="S103"/>
  <c r="S77"/>
  <c r="S40"/>
  <c r="S39"/>
  <c r="S38"/>
  <c r="S12"/>
  <c r="S11"/>
  <c r="AA419"/>
  <c r="AA203"/>
  <c r="AA209"/>
  <c r="K434"/>
  <c r="O434" s="1" a="1"/>
  <c r="O434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R408"/>
  <c r="V315" a="1"/>
  <c r="V315" s="1"/>
  <c r="V316" a="1"/>
  <c r="V316" s="1"/>
  <c r="V216" a="1"/>
  <c r="V216" s="1"/>
  <c r="V217" a="1"/>
  <c r="V217" s="1"/>
  <c r="V218" a="1"/>
  <c r="V218" s="1"/>
  <c r="P408"/>
  <c r="O409" s="1" a="1"/>
  <c r="O409" s="1"/>
  <c r="M211"/>
  <c r="K433"/>
  <c r="O433" s="1" a="1"/>
  <c r="O433" s="1"/>
  <c r="K432"/>
  <c r="O432" s="1" a="1"/>
  <c r="O432" s="1"/>
  <c r="R199"/>
  <c r="G424" s="1"/>
  <c r="V8" a="1"/>
  <c r="V8" s="1"/>
  <c r="K199" a="1"/>
  <c r="K199" s="1"/>
  <c r="K408" a="1"/>
  <c r="K408" s="1"/>
  <c r="T452" i="452" a="1"/>
  <c r="T452" s="1"/>
  <c r="G424"/>
  <c r="K424" s="1"/>
  <c r="C423"/>
  <c r="T452" i="468" a="1"/>
  <c r="T452" s="1"/>
  <c r="S424" a="1"/>
  <c r="S424" s="1"/>
  <c r="P408"/>
  <c r="O409" s="1" a="1"/>
  <c r="O409" s="1"/>
  <c r="S451" i="469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O424" i="452"/>
  <c r="U452" i="469" a="1"/>
  <c r="U452" s="1"/>
  <c r="O424"/>
  <c r="S424" s="1" a="1"/>
  <c r="S424" s="1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i="468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I408" a="1"/>
  <c r="I408" s="1"/>
  <c r="L236"/>
  <c r="U452" a="1"/>
  <c r="U452" s="1"/>
  <c r="S236"/>
  <c r="L199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08" a="1"/>
  <c r="S408" s="1"/>
  <c r="S199" a="1"/>
  <c r="S199" s="1"/>
  <c r="G429" i="467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S451" i="46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C423" i="438"/>
  <c r="O424" i="465"/>
  <c r="S424" s="1" a="1"/>
  <c r="S424" s="1"/>
  <c r="S451" i="464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0" i="46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U452" a="1"/>
  <c r="U452" s="1"/>
  <c r="G423"/>
  <c r="S451" i="46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3" i="442"/>
  <c r="C423" i="444"/>
  <c r="C423" i="450"/>
  <c r="U452" i="462" a="1"/>
  <c r="U452" s="1"/>
  <c r="O424"/>
  <c r="S424" s="1" a="1"/>
  <c r="S424" s="1"/>
  <c r="S199" a="1"/>
  <c r="S199" s="1"/>
  <c r="S451" i="46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U452" a="1"/>
  <c r="U452" s="1"/>
  <c r="O424"/>
  <c r="S424" s="1" a="1"/>
  <c r="S424" s="1"/>
  <c r="S450" i="46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459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0" i="45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450" i="45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5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55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M417" a="1"/>
  <c r="M417" s="1"/>
  <c r="M416" a="1"/>
  <c r="M416" s="1"/>
  <c r="M415" a="1"/>
  <c r="M415" s="1"/>
  <c r="V408" a="1"/>
  <c r="V408" s="1"/>
  <c r="S420" a="1"/>
  <c r="S420" s="1"/>
  <c r="M418" a="1"/>
  <c r="M418" s="1"/>
  <c r="C424"/>
  <c r="K424" s="1"/>
  <c r="O200"/>
  <c r="G426" a="1"/>
  <c r="G426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G429"/>
  <c r="O423"/>
  <c r="S423"/>
  <c r="K423"/>
  <c r="S450" i="45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52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U452" a="1"/>
  <c r="U452" s="1"/>
  <c r="G423"/>
  <c r="S211" i="451" a="1"/>
  <c r="S211" s="1"/>
  <c r="M208" a="1"/>
  <c r="M208" s="1"/>
  <c r="M207" a="1"/>
  <c r="M207" s="1"/>
  <c r="M206" a="1"/>
  <c r="M206" s="1"/>
  <c r="M209" a="1"/>
  <c r="M209" s="1"/>
  <c r="C424"/>
  <c r="S6"/>
  <c r="C423" i="439"/>
  <c r="C423" i="441"/>
  <c r="C423" i="443"/>
  <c r="C423" i="445"/>
  <c r="W200" i="450"/>
  <c r="K199" i="451" a="1"/>
  <c r="K199" s="1"/>
  <c r="C423" s="1"/>
  <c r="R199"/>
  <c r="G424" s="1"/>
  <c r="V6" a="1"/>
  <c r="V6" s="1"/>
  <c r="S18"/>
  <c r="S20"/>
  <c r="S22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0"/>
  <c r="V6" a="1"/>
  <c r="V6" s="1"/>
  <c r="C424"/>
  <c r="K424" s="1"/>
  <c r="O200"/>
  <c r="S6"/>
  <c r="S199" s="1" a="1"/>
  <c r="S199" s="1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5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2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3" i="431"/>
  <c r="V6" i="439" a="1"/>
  <c r="V6" s="1"/>
  <c r="S78"/>
  <c r="S80"/>
  <c r="S83"/>
  <c r="S84"/>
  <c r="S89"/>
  <c r="S91"/>
  <c r="S9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8"/>
  <c r="S211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S199" s="1" a="1"/>
  <c r="S199" s="1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V6" i="435" a="1"/>
  <c r="V6" s="1"/>
  <c r="P199"/>
  <c r="S6"/>
  <c r="S199" s="1" a="1"/>
  <c r="S199" s="1"/>
  <c r="W200"/>
  <c r="AA210"/>
  <c r="K430"/>
  <c r="K429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G199" i="426" a="1"/>
  <c r="G199" s="1"/>
  <c r="P450"/>
  <c r="O450"/>
  <c r="N450"/>
  <c r="M450"/>
  <c r="L450"/>
  <c r="K450"/>
  <c r="I450"/>
  <c r="H450"/>
  <c r="G450"/>
  <c r="F450"/>
  <c r="E450"/>
  <c r="P443"/>
  <c r="O443"/>
  <c r="N443"/>
  <c r="M443"/>
  <c r="L443"/>
  <c r="K443"/>
  <c r="I443"/>
  <c r="H443"/>
  <c r="G443"/>
  <c r="F443"/>
  <c r="E443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AD407" s="1"/>
  <c r="AF407" s="1"/>
  <c r="K407"/>
  <c r="R406"/>
  <c r="P406"/>
  <c r="N406"/>
  <c r="L406"/>
  <c r="AD406" s="1"/>
  <c r="AF406" s="1"/>
  <c r="K406"/>
  <c r="R405"/>
  <c r="P405"/>
  <c r="N405"/>
  <c r="L405"/>
  <c r="AD405" s="1"/>
  <c r="AF405" s="1"/>
  <c r="K405"/>
  <c r="R404"/>
  <c r="P404"/>
  <c r="N404"/>
  <c r="L404"/>
  <c r="AD404" s="1"/>
  <c r="AF404" s="1"/>
  <c r="K404"/>
  <c r="R403"/>
  <c r="P403"/>
  <c r="N403"/>
  <c r="L403"/>
  <c r="AD403" s="1"/>
  <c r="AF403" s="1"/>
  <c r="K403"/>
  <c r="R402"/>
  <c r="P402"/>
  <c r="N402"/>
  <c r="L402"/>
  <c r="AD402" s="1"/>
  <c r="AF402" s="1"/>
  <c r="K402"/>
  <c r="R401"/>
  <c r="P401"/>
  <c r="N401"/>
  <c r="L401"/>
  <c r="AD401" s="1"/>
  <c r="AF401" s="1"/>
  <c r="K401"/>
  <c r="R400"/>
  <c r="P400"/>
  <c r="N400"/>
  <c r="L400"/>
  <c r="AD400" s="1"/>
  <c r="AF400" s="1"/>
  <c r="K400"/>
  <c r="R399"/>
  <c r="P399"/>
  <c r="N399"/>
  <c r="L399"/>
  <c r="AD399" s="1"/>
  <c r="AF399" s="1"/>
  <c r="K399"/>
  <c r="R398"/>
  <c r="P398"/>
  <c r="N398"/>
  <c r="L398"/>
  <c r="AD398" s="1"/>
  <c r="AF398" s="1"/>
  <c r="K398"/>
  <c r="R397"/>
  <c r="P397"/>
  <c r="N397"/>
  <c r="L397"/>
  <c r="AD397" s="1"/>
  <c r="AF397" s="1"/>
  <c r="K397"/>
  <c r="R396"/>
  <c r="P396"/>
  <c r="N396"/>
  <c r="L396"/>
  <c r="AD396" s="1"/>
  <c r="AF396" s="1"/>
  <c r="K396"/>
  <c r="R395"/>
  <c r="P395"/>
  <c r="N395"/>
  <c r="L395"/>
  <c r="AD395" s="1"/>
  <c r="AF395" s="1"/>
  <c r="K395"/>
  <c r="R394"/>
  <c r="P394"/>
  <c r="N394"/>
  <c r="L394"/>
  <c r="AD394" s="1"/>
  <c r="AF394" s="1"/>
  <c r="K394"/>
  <c r="R393"/>
  <c r="P393"/>
  <c r="N393"/>
  <c r="L393"/>
  <c r="AD393" s="1"/>
  <c r="AF393" s="1"/>
  <c r="K393"/>
  <c r="R392"/>
  <c r="P392"/>
  <c r="N392"/>
  <c r="L392"/>
  <c r="AD392" s="1"/>
  <c r="AF392" s="1"/>
  <c r="K392"/>
  <c r="R391"/>
  <c r="P391"/>
  <c r="N391"/>
  <c r="L391"/>
  <c r="AD391" s="1"/>
  <c r="AF391" s="1"/>
  <c r="K391"/>
  <c r="R390"/>
  <c r="P390"/>
  <c r="N390"/>
  <c r="L390"/>
  <c r="AD390" s="1"/>
  <c r="AF390" s="1"/>
  <c r="K390"/>
  <c r="R389"/>
  <c r="P389"/>
  <c r="N389"/>
  <c r="L389"/>
  <c r="AD389" s="1"/>
  <c r="AF389" s="1"/>
  <c r="K389"/>
  <c r="R388"/>
  <c r="P388"/>
  <c r="N388"/>
  <c r="L388"/>
  <c r="AD388" s="1"/>
  <c r="AF388" s="1"/>
  <c r="K388"/>
  <c r="R387"/>
  <c r="P387"/>
  <c r="N387"/>
  <c r="L387"/>
  <c r="AD387" s="1"/>
  <c r="AF387" s="1"/>
  <c r="K387"/>
  <c r="R386"/>
  <c r="P386"/>
  <c r="N386"/>
  <c r="L386"/>
  <c r="AD386" s="1"/>
  <c r="AF386" s="1"/>
  <c r="K386"/>
  <c r="R385"/>
  <c r="P385"/>
  <c r="N385"/>
  <c r="L385"/>
  <c r="AD385" s="1"/>
  <c r="AF385" s="1"/>
  <c r="K385"/>
  <c r="R384"/>
  <c r="P384"/>
  <c r="N384"/>
  <c r="L384"/>
  <c r="AD384" s="1"/>
  <c r="AF384" s="1"/>
  <c r="K384"/>
  <c r="R383"/>
  <c r="P383"/>
  <c r="N383"/>
  <c r="L383"/>
  <c r="AD383" s="1"/>
  <c r="AF383" s="1"/>
  <c r="K383"/>
  <c r="R382"/>
  <c r="P382"/>
  <c r="N382"/>
  <c r="L382"/>
  <c r="AD382" s="1"/>
  <c r="AF382" s="1"/>
  <c r="K382"/>
  <c r="R381"/>
  <c r="P381"/>
  <c r="N381"/>
  <c r="L381"/>
  <c r="AD381" s="1"/>
  <c r="AF381" s="1"/>
  <c r="K381"/>
  <c r="R380"/>
  <c r="P380"/>
  <c r="N380"/>
  <c r="L380"/>
  <c r="AD380" s="1"/>
  <c r="AF380" s="1"/>
  <c r="K380"/>
  <c r="R379"/>
  <c r="P379"/>
  <c r="N379"/>
  <c r="L379"/>
  <c r="AD379" s="1"/>
  <c r="AF379" s="1"/>
  <c r="K379"/>
  <c r="R378"/>
  <c r="P378"/>
  <c r="N378"/>
  <c r="L378"/>
  <c r="AD378" s="1"/>
  <c r="AF378" s="1"/>
  <c r="K378"/>
  <c r="R377"/>
  <c r="P377"/>
  <c r="N377"/>
  <c r="L377"/>
  <c r="AD377" s="1"/>
  <c r="AF377" s="1"/>
  <c r="K377"/>
  <c r="R376"/>
  <c r="P376"/>
  <c r="N376"/>
  <c r="L376"/>
  <c r="AD376" s="1"/>
  <c r="AF376" s="1"/>
  <c r="K376"/>
  <c r="R375"/>
  <c r="P375"/>
  <c r="N375"/>
  <c r="L375"/>
  <c r="AD375" s="1"/>
  <c r="AF375" s="1"/>
  <c r="K375"/>
  <c r="R374"/>
  <c r="P374"/>
  <c r="N374"/>
  <c r="L374"/>
  <c r="AD374" s="1"/>
  <c r="AF374" s="1"/>
  <c r="K374"/>
  <c r="R373"/>
  <c r="P373"/>
  <c r="N373"/>
  <c r="L373"/>
  <c r="AD373" s="1"/>
  <c r="AF373" s="1"/>
  <c r="K373"/>
  <c r="R372"/>
  <c r="P372"/>
  <c r="N372"/>
  <c r="L372"/>
  <c r="AD372" s="1"/>
  <c r="AF372" s="1"/>
  <c r="K372"/>
  <c r="R371"/>
  <c r="P371"/>
  <c r="N371"/>
  <c r="L371"/>
  <c r="AD371" s="1"/>
  <c r="AF371" s="1"/>
  <c r="K371"/>
  <c r="R370"/>
  <c r="P370"/>
  <c r="N370"/>
  <c r="L370"/>
  <c r="AD370" s="1"/>
  <c r="AF370" s="1"/>
  <c r="K370"/>
  <c r="R369"/>
  <c r="P369"/>
  <c r="N369"/>
  <c r="L369"/>
  <c r="AD369" s="1"/>
  <c r="AF369" s="1"/>
  <c r="K369"/>
  <c r="R368"/>
  <c r="P368"/>
  <c r="N368"/>
  <c r="L368"/>
  <c r="AD368" s="1"/>
  <c r="AF368" s="1"/>
  <c r="K368"/>
  <c r="R367"/>
  <c r="P367"/>
  <c r="N367"/>
  <c r="L367"/>
  <c r="AD367" s="1"/>
  <c r="AF367" s="1"/>
  <c r="K367"/>
  <c r="R366"/>
  <c r="P366"/>
  <c r="N366"/>
  <c r="L366"/>
  <c r="AD366" s="1"/>
  <c r="AF366" s="1"/>
  <c r="K366"/>
  <c r="R365"/>
  <c r="P365"/>
  <c r="N365"/>
  <c r="L365"/>
  <c r="AD365" s="1"/>
  <c r="AF365" s="1"/>
  <c r="K365"/>
  <c r="R364"/>
  <c r="P364"/>
  <c r="N364"/>
  <c r="L364"/>
  <c r="AD364" s="1"/>
  <c r="AF364" s="1"/>
  <c r="K364"/>
  <c r="R363"/>
  <c r="P363"/>
  <c r="N363"/>
  <c r="L363"/>
  <c r="AD363" s="1"/>
  <c r="AF363" s="1"/>
  <c r="K363"/>
  <c r="R362"/>
  <c r="P362"/>
  <c r="N362"/>
  <c r="L362"/>
  <c r="AD362" s="1"/>
  <c r="AF362" s="1"/>
  <c r="K362"/>
  <c r="R361"/>
  <c r="P361"/>
  <c r="N361"/>
  <c r="L361"/>
  <c r="AD361" s="1"/>
  <c r="AF361" s="1"/>
  <c r="K361"/>
  <c r="R360"/>
  <c r="P360"/>
  <c r="N360"/>
  <c r="L360"/>
  <c r="AD360" s="1"/>
  <c r="AF360" s="1"/>
  <c r="K360"/>
  <c r="R359"/>
  <c r="P359"/>
  <c r="N359"/>
  <c r="L359"/>
  <c r="AD359" s="1"/>
  <c r="AF359" s="1"/>
  <c r="K359"/>
  <c r="R358"/>
  <c r="P358"/>
  <c r="N358"/>
  <c r="L358"/>
  <c r="AD358" s="1"/>
  <c r="AF358" s="1"/>
  <c r="K358"/>
  <c r="R357"/>
  <c r="P357"/>
  <c r="N357"/>
  <c r="L357"/>
  <c r="AD357" s="1"/>
  <c r="AF357" s="1"/>
  <c r="K357"/>
  <c r="R356"/>
  <c r="P356"/>
  <c r="N356"/>
  <c r="L356"/>
  <c r="AD356" s="1"/>
  <c r="AF356" s="1"/>
  <c r="K356"/>
  <c r="R355"/>
  <c r="P355"/>
  <c r="N355"/>
  <c r="L355"/>
  <c r="AD355" s="1"/>
  <c r="AF355" s="1"/>
  <c r="K355"/>
  <c r="R354"/>
  <c r="P354"/>
  <c r="N354"/>
  <c r="L354"/>
  <c r="AD354" s="1"/>
  <c r="AF354" s="1"/>
  <c r="K354"/>
  <c r="R353"/>
  <c r="P353"/>
  <c r="N353"/>
  <c r="L353"/>
  <c r="AD353" s="1"/>
  <c r="AF353" s="1"/>
  <c r="K353"/>
  <c r="R352"/>
  <c r="P352"/>
  <c r="N352"/>
  <c r="L352"/>
  <c r="AD352" s="1"/>
  <c r="AF352" s="1"/>
  <c r="K352"/>
  <c r="R351"/>
  <c r="P351"/>
  <c r="N351"/>
  <c r="L351"/>
  <c r="AD351" s="1"/>
  <c r="AF351" s="1"/>
  <c r="K351"/>
  <c r="R350"/>
  <c r="P350"/>
  <c r="N350"/>
  <c r="L350"/>
  <c r="AD350" s="1"/>
  <c r="AF350" s="1"/>
  <c r="K350"/>
  <c r="R349"/>
  <c r="P349"/>
  <c r="N349"/>
  <c r="L349"/>
  <c r="AD349" s="1"/>
  <c r="AF349" s="1"/>
  <c r="K349"/>
  <c r="R348"/>
  <c r="P348"/>
  <c r="N348"/>
  <c r="L348"/>
  <c r="AD348" s="1"/>
  <c r="AF348" s="1"/>
  <c r="K348"/>
  <c r="R347"/>
  <c r="P347"/>
  <c r="N347"/>
  <c r="L347"/>
  <c r="AD347" s="1"/>
  <c r="AF347" s="1"/>
  <c r="K347"/>
  <c r="R346"/>
  <c r="P346"/>
  <c r="N346"/>
  <c r="L346"/>
  <c r="AD346" s="1"/>
  <c r="AF346" s="1"/>
  <c r="K346"/>
  <c r="R345"/>
  <c r="P345"/>
  <c r="N345"/>
  <c r="L345"/>
  <c r="AD345" s="1"/>
  <c r="AF345" s="1"/>
  <c r="K345"/>
  <c r="R344"/>
  <c r="P344"/>
  <c r="N344"/>
  <c r="L344"/>
  <c r="AD344" s="1"/>
  <c r="AF344" s="1"/>
  <c r="K344"/>
  <c r="R343"/>
  <c r="P343"/>
  <c r="N343"/>
  <c r="L343"/>
  <c r="AD343" s="1"/>
  <c r="AF343" s="1"/>
  <c r="K343"/>
  <c r="R342"/>
  <c r="P342"/>
  <c r="N342"/>
  <c r="L342"/>
  <c r="AD342" s="1"/>
  <c r="AF342" s="1"/>
  <c r="K342"/>
  <c r="R341"/>
  <c r="P341"/>
  <c r="N341"/>
  <c r="L341"/>
  <c r="AD341" s="1"/>
  <c r="AF341" s="1"/>
  <c r="K341"/>
  <c r="R340"/>
  <c r="P340"/>
  <c r="N340"/>
  <c r="L340"/>
  <c r="AD340" s="1"/>
  <c r="AF340" s="1"/>
  <c r="K340"/>
  <c r="R339"/>
  <c r="P339"/>
  <c r="N339"/>
  <c r="L339"/>
  <c r="AD339" s="1"/>
  <c r="AF339" s="1"/>
  <c r="K339"/>
  <c r="R338"/>
  <c r="P338"/>
  <c r="N338"/>
  <c r="L338"/>
  <c r="AD338" s="1"/>
  <c r="AF338" s="1"/>
  <c r="K338"/>
  <c r="R337"/>
  <c r="P337"/>
  <c r="N337"/>
  <c r="L337"/>
  <c r="AD337" s="1"/>
  <c r="AF337" s="1"/>
  <c r="K337"/>
  <c r="R336"/>
  <c r="P336"/>
  <c r="N336"/>
  <c r="L336"/>
  <c r="AD336" s="1"/>
  <c r="AF336" s="1"/>
  <c r="K336"/>
  <c r="R335"/>
  <c r="P335"/>
  <c r="N335"/>
  <c r="L335"/>
  <c r="AD335" s="1"/>
  <c r="AF335" s="1"/>
  <c r="K335"/>
  <c r="R334"/>
  <c r="P334"/>
  <c r="N334"/>
  <c r="L334"/>
  <c r="AD334" s="1"/>
  <c r="AF334" s="1"/>
  <c r="K334"/>
  <c r="R333"/>
  <c r="P333"/>
  <c r="N333"/>
  <c r="L333"/>
  <c r="AD333" s="1"/>
  <c r="AF333" s="1"/>
  <c r="K333"/>
  <c r="R332"/>
  <c r="P332"/>
  <c r="N332"/>
  <c r="L332"/>
  <c r="AD332" s="1"/>
  <c r="AF332" s="1"/>
  <c r="K332"/>
  <c r="R331"/>
  <c r="P331"/>
  <c r="N331"/>
  <c r="L331"/>
  <c r="AD331" s="1"/>
  <c r="AF331" s="1"/>
  <c r="K331"/>
  <c r="R330"/>
  <c r="P330"/>
  <c r="N330"/>
  <c r="L330"/>
  <c r="AD330" s="1"/>
  <c r="AF330" s="1"/>
  <c r="K330"/>
  <c r="R329"/>
  <c r="P329"/>
  <c r="N329"/>
  <c r="L329"/>
  <c r="AD329" s="1"/>
  <c r="AF329" s="1"/>
  <c r="K329"/>
  <c r="R328"/>
  <c r="P328"/>
  <c r="N328"/>
  <c r="L328"/>
  <c r="AD328" s="1"/>
  <c r="AF328" s="1"/>
  <c r="K328"/>
  <c r="R327"/>
  <c r="P327"/>
  <c r="N327"/>
  <c r="L327"/>
  <c r="AD327" s="1"/>
  <c r="AF327" s="1"/>
  <c r="K327"/>
  <c r="R326"/>
  <c r="P326"/>
  <c r="N326"/>
  <c r="L326"/>
  <c r="AD326" s="1"/>
  <c r="AF326" s="1"/>
  <c r="K326"/>
  <c r="R325"/>
  <c r="P325"/>
  <c r="N325"/>
  <c r="L325"/>
  <c r="AD325" s="1"/>
  <c r="AF325" s="1"/>
  <c r="K325"/>
  <c r="R324"/>
  <c r="P324"/>
  <c r="N324"/>
  <c r="L324"/>
  <c r="AD324" s="1"/>
  <c r="AF324" s="1"/>
  <c r="K324"/>
  <c r="R323"/>
  <c r="P323"/>
  <c r="N323"/>
  <c r="L323"/>
  <c r="AD323" s="1"/>
  <c r="AF323" s="1"/>
  <c r="K323"/>
  <c r="R322"/>
  <c r="P322"/>
  <c r="N322"/>
  <c r="L322"/>
  <c r="AD322" s="1"/>
  <c r="AF322" s="1"/>
  <c r="K322"/>
  <c r="R321"/>
  <c r="P321"/>
  <c r="N321"/>
  <c r="L321"/>
  <c r="AD321" s="1"/>
  <c r="AF321" s="1"/>
  <c r="K321"/>
  <c r="R320"/>
  <c r="P320"/>
  <c r="N320"/>
  <c r="L320"/>
  <c r="AD320" s="1"/>
  <c r="AF320" s="1"/>
  <c r="K320"/>
  <c r="R319"/>
  <c r="P319"/>
  <c r="N319"/>
  <c r="L319"/>
  <c r="AD319" s="1"/>
  <c r="AF319" s="1"/>
  <c r="K319"/>
  <c r="R318"/>
  <c r="P318"/>
  <c r="N318"/>
  <c r="L318"/>
  <c r="AD318" s="1"/>
  <c r="AF318" s="1"/>
  <c r="K318"/>
  <c r="R317"/>
  <c r="P317"/>
  <c r="N317"/>
  <c r="L317"/>
  <c r="AD317" s="1"/>
  <c r="AF317" s="1"/>
  <c r="K317"/>
  <c r="R316"/>
  <c r="P316"/>
  <c r="N316"/>
  <c r="L316"/>
  <c r="AD316" s="1"/>
  <c r="AF316" s="1"/>
  <c r="K316"/>
  <c r="R315"/>
  <c r="P315"/>
  <c r="N315"/>
  <c r="L315"/>
  <c r="AD315" s="1"/>
  <c r="AF315" s="1"/>
  <c r="K315"/>
  <c r="R314"/>
  <c r="P314"/>
  <c r="N314"/>
  <c r="L314"/>
  <c r="AD314" s="1"/>
  <c r="AF314" s="1"/>
  <c r="K314"/>
  <c r="R313"/>
  <c r="P313"/>
  <c r="N313"/>
  <c r="L313"/>
  <c r="AD313" s="1"/>
  <c r="AF313" s="1"/>
  <c r="K313"/>
  <c r="R312"/>
  <c r="P312"/>
  <c r="N312"/>
  <c r="L312"/>
  <c r="AD312" s="1"/>
  <c r="AF312" s="1"/>
  <c r="K312"/>
  <c r="R311"/>
  <c r="P311"/>
  <c r="N311"/>
  <c r="L311"/>
  <c r="AD311" s="1"/>
  <c r="AF311" s="1"/>
  <c r="K311"/>
  <c r="R310"/>
  <c r="P310"/>
  <c r="N310"/>
  <c r="L310"/>
  <c r="AD310" s="1"/>
  <c r="AF310" s="1"/>
  <c r="K310"/>
  <c r="R309"/>
  <c r="P309"/>
  <c r="N309"/>
  <c r="L309"/>
  <c r="AD309" s="1"/>
  <c r="AF309" s="1"/>
  <c r="K309"/>
  <c r="R308"/>
  <c r="P308"/>
  <c r="N308"/>
  <c r="L308"/>
  <c r="AD308" s="1"/>
  <c r="AF308" s="1"/>
  <c r="K308"/>
  <c r="R307"/>
  <c r="P307"/>
  <c r="N307"/>
  <c r="L307"/>
  <c r="AD307" s="1"/>
  <c r="AF307" s="1"/>
  <c r="K307"/>
  <c r="R306"/>
  <c r="P306"/>
  <c r="N306"/>
  <c r="L306"/>
  <c r="AD306" s="1"/>
  <c r="AF306" s="1"/>
  <c r="K306"/>
  <c r="R305"/>
  <c r="P305"/>
  <c r="N305"/>
  <c r="L305"/>
  <c r="AD305" s="1"/>
  <c r="AF305" s="1"/>
  <c r="K305"/>
  <c r="R304"/>
  <c r="P304"/>
  <c r="N304"/>
  <c r="L304"/>
  <c r="AD304" s="1"/>
  <c r="AF304" s="1"/>
  <c r="K304"/>
  <c r="R303"/>
  <c r="P303"/>
  <c r="N303"/>
  <c r="L303"/>
  <c r="AD303" s="1"/>
  <c r="AF303" s="1"/>
  <c r="K303"/>
  <c r="R302"/>
  <c r="P302"/>
  <c r="N302"/>
  <c r="L302"/>
  <c r="AD302" s="1"/>
  <c r="AF302" s="1"/>
  <c r="K302"/>
  <c r="R301"/>
  <c r="P301"/>
  <c r="N301"/>
  <c r="L301"/>
  <c r="AD301" s="1"/>
  <c r="AF301" s="1"/>
  <c r="K301"/>
  <c r="R300"/>
  <c r="P300"/>
  <c r="N300"/>
  <c r="L300"/>
  <c r="AD300" s="1"/>
  <c r="AF300" s="1"/>
  <c r="K300"/>
  <c r="R299"/>
  <c r="P299"/>
  <c r="N299"/>
  <c r="L299"/>
  <c r="AD299" s="1"/>
  <c r="AF299" s="1"/>
  <c r="K299"/>
  <c r="R298"/>
  <c r="P298"/>
  <c r="N298"/>
  <c r="L298"/>
  <c r="AD298" s="1"/>
  <c r="AF298" s="1"/>
  <c r="K298"/>
  <c r="R297"/>
  <c r="P297"/>
  <c r="N297"/>
  <c r="L297"/>
  <c r="AD297" s="1"/>
  <c r="AF297" s="1"/>
  <c r="K297"/>
  <c r="R296"/>
  <c r="P296"/>
  <c r="N296"/>
  <c r="L296"/>
  <c r="AD296" s="1"/>
  <c r="AF296" s="1"/>
  <c r="K296"/>
  <c r="R295"/>
  <c r="P295"/>
  <c r="N295"/>
  <c r="L295"/>
  <c r="AD295" s="1"/>
  <c r="AF295" s="1"/>
  <c r="K295"/>
  <c r="R294"/>
  <c r="P294"/>
  <c r="N294"/>
  <c r="L294"/>
  <c r="AD294" s="1"/>
  <c r="AF294" s="1"/>
  <c r="K294"/>
  <c r="R293"/>
  <c r="P293"/>
  <c r="N293"/>
  <c r="L293"/>
  <c r="AD293" s="1"/>
  <c r="AF293" s="1"/>
  <c r="K293"/>
  <c r="R292"/>
  <c r="P292"/>
  <c r="N292"/>
  <c r="L292"/>
  <c r="AD292" s="1"/>
  <c r="AF292" s="1"/>
  <c r="K292"/>
  <c r="R291"/>
  <c r="P291"/>
  <c r="N291"/>
  <c r="L291"/>
  <c r="AD291" s="1"/>
  <c r="AF291" s="1"/>
  <c r="K291"/>
  <c r="R290"/>
  <c r="P290"/>
  <c r="N290"/>
  <c r="L290"/>
  <c r="AD290" s="1"/>
  <c r="AF290" s="1"/>
  <c r="K290"/>
  <c r="R289"/>
  <c r="P289"/>
  <c r="N289"/>
  <c r="L289"/>
  <c r="AD289" s="1"/>
  <c r="AF289" s="1"/>
  <c r="K289"/>
  <c r="R288"/>
  <c r="P288"/>
  <c r="N288"/>
  <c r="L288"/>
  <c r="AD288" s="1"/>
  <c r="AF288" s="1"/>
  <c r="K288"/>
  <c r="R287"/>
  <c r="P287"/>
  <c r="N287"/>
  <c r="L287"/>
  <c r="AD287" s="1"/>
  <c r="AF287" s="1"/>
  <c r="K287"/>
  <c r="R286"/>
  <c r="P286"/>
  <c r="N286"/>
  <c r="L286"/>
  <c r="AD286" s="1"/>
  <c r="AF286" s="1"/>
  <c r="K286"/>
  <c r="R285"/>
  <c r="P285"/>
  <c r="N285"/>
  <c r="L285"/>
  <c r="AD285" s="1"/>
  <c r="AF285" s="1"/>
  <c r="K285"/>
  <c r="R284"/>
  <c r="P284"/>
  <c r="N284"/>
  <c r="L284"/>
  <c r="AD284" s="1"/>
  <c r="AF284" s="1"/>
  <c r="K284"/>
  <c r="R283"/>
  <c r="P283"/>
  <c r="N283"/>
  <c r="L283"/>
  <c r="AD283" s="1"/>
  <c r="AF283" s="1"/>
  <c r="K283"/>
  <c r="R282"/>
  <c r="P282"/>
  <c r="N282"/>
  <c r="L282"/>
  <c r="AD282" s="1"/>
  <c r="AF282" s="1"/>
  <c r="K282"/>
  <c r="R281"/>
  <c r="P281"/>
  <c r="N281"/>
  <c r="L281"/>
  <c r="AD281" s="1"/>
  <c r="AF281" s="1"/>
  <c r="K281"/>
  <c r="R280"/>
  <c r="P280"/>
  <c r="N280"/>
  <c r="L280"/>
  <c r="AD280" s="1"/>
  <c r="AF280" s="1"/>
  <c r="K280"/>
  <c r="R279"/>
  <c r="P279"/>
  <c r="N279"/>
  <c r="L279"/>
  <c r="AD279" s="1"/>
  <c r="AF279" s="1"/>
  <c r="K279"/>
  <c r="R278"/>
  <c r="P278"/>
  <c r="N278"/>
  <c r="L278"/>
  <c r="AD278" s="1"/>
  <c r="AF278" s="1"/>
  <c r="K278"/>
  <c r="R277"/>
  <c r="P277"/>
  <c r="N277"/>
  <c r="L277"/>
  <c r="AD277" s="1"/>
  <c r="AF277" s="1"/>
  <c r="K277"/>
  <c r="R276"/>
  <c r="P276"/>
  <c r="N276"/>
  <c r="L276"/>
  <c r="AD276" s="1"/>
  <c r="AF276" s="1"/>
  <c r="K276"/>
  <c r="R275"/>
  <c r="P275"/>
  <c r="N275"/>
  <c r="L275"/>
  <c r="AD275" s="1"/>
  <c r="AF275" s="1"/>
  <c r="K275"/>
  <c r="R274"/>
  <c r="P274"/>
  <c r="N274"/>
  <c r="L274"/>
  <c r="AD274" s="1"/>
  <c r="AF274" s="1"/>
  <c r="K274"/>
  <c r="R273"/>
  <c r="P273"/>
  <c r="N273"/>
  <c r="L273"/>
  <c r="AD273" s="1"/>
  <c r="AF273" s="1"/>
  <c r="K273"/>
  <c r="R272"/>
  <c r="P272"/>
  <c r="N272"/>
  <c r="L272"/>
  <c r="AD272" s="1"/>
  <c r="AF272" s="1"/>
  <c r="K272"/>
  <c r="R271"/>
  <c r="P271"/>
  <c r="N271"/>
  <c r="L271"/>
  <c r="AD271" s="1"/>
  <c r="AF271" s="1"/>
  <c r="K271"/>
  <c r="R270"/>
  <c r="P270"/>
  <c r="N270"/>
  <c r="L270"/>
  <c r="AD270" s="1"/>
  <c r="AF270" s="1"/>
  <c r="K270"/>
  <c r="R269"/>
  <c r="P269"/>
  <c r="N269"/>
  <c r="L269"/>
  <c r="AD269" s="1"/>
  <c r="AF269" s="1"/>
  <c r="K269"/>
  <c r="R268"/>
  <c r="P268"/>
  <c r="N268"/>
  <c r="L268"/>
  <c r="AD268" s="1"/>
  <c r="AF268" s="1"/>
  <c r="K268"/>
  <c r="R267"/>
  <c r="P267"/>
  <c r="N267"/>
  <c r="L267"/>
  <c r="AD267" s="1"/>
  <c r="AF267" s="1"/>
  <c r="K267"/>
  <c r="R266"/>
  <c r="P266"/>
  <c r="N266"/>
  <c r="L266"/>
  <c r="AD266" s="1"/>
  <c r="AF266" s="1"/>
  <c r="K266"/>
  <c r="R265"/>
  <c r="P265"/>
  <c r="N265"/>
  <c r="L265"/>
  <c r="AD265" s="1"/>
  <c r="AF265" s="1"/>
  <c r="K265"/>
  <c r="R264"/>
  <c r="P264"/>
  <c r="N264"/>
  <c r="L264"/>
  <c r="AD264" s="1"/>
  <c r="AF264" s="1"/>
  <c r="K264"/>
  <c r="R263"/>
  <c r="P263"/>
  <c r="N263"/>
  <c r="L263"/>
  <c r="AD263" s="1"/>
  <c r="AF263" s="1"/>
  <c r="K263"/>
  <c r="R262"/>
  <c r="P262"/>
  <c r="N262"/>
  <c r="L262"/>
  <c r="AD262" s="1"/>
  <c r="AF262" s="1"/>
  <c r="K262"/>
  <c r="R261"/>
  <c r="P261"/>
  <c r="N261"/>
  <c r="L261"/>
  <c r="AD261" s="1"/>
  <c r="AF261" s="1"/>
  <c r="K261"/>
  <c r="R260"/>
  <c r="P260"/>
  <c r="N260"/>
  <c r="L260"/>
  <c r="AD260" s="1"/>
  <c r="AF260" s="1"/>
  <c r="K260"/>
  <c r="R259"/>
  <c r="P259"/>
  <c r="N259"/>
  <c r="L259"/>
  <c r="AD259" s="1"/>
  <c r="AF259" s="1"/>
  <c r="K259"/>
  <c r="R258"/>
  <c r="P258"/>
  <c r="N258"/>
  <c r="L258"/>
  <c r="AD258" s="1"/>
  <c r="AF258" s="1"/>
  <c r="K258"/>
  <c r="R257"/>
  <c r="P257"/>
  <c r="N257"/>
  <c r="L257"/>
  <c r="AD257" s="1"/>
  <c r="AF257" s="1"/>
  <c r="K257"/>
  <c r="R256"/>
  <c r="P256"/>
  <c r="N256"/>
  <c r="L256"/>
  <c r="AD256" s="1"/>
  <c r="AF256" s="1"/>
  <c r="K256"/>
  <c r="R255"/>
  <c r="P255"/>
  <c r="N255"/>
  <c r="L255"/>
  <c r="AD255" s="1"/>
  <c r="AF255" s="1"/>
  <c r="K255"/>
  <c r="R254"/>
  <c r="P254"/>
  <c r="N254"/>
  <c r="L254"/>
  <c r="AD254" s="1"/>
  <c r="AF254" s="1"/>
  <c r="K254"/>
  <c r="R253"/>
  <c r="P253"/>
  <c r="N253"/>
  <c r="L253"/>
  <c r="AD253" s="1"/>
  <c r="AF253" s="1"/>
  <c r="K253"/>
  <c r="R252"/>
  <c r="P252"/>
  <c r="N252"/>
  <c r="L252"/>
  <c r="AD252" s="1"/>
  <c r="AF252" s="1"/>
  <c r="K252"/>
  <c r="R251"/>
  <c r="P251"/>
  <c r="N251"/>
  <c r="L251"/>
  <c r="AD251" s="1"/>
  <c r="AF251" s="1"/>
  <c r="K251"/>
  <c r="R250"/>
  <c r="P250"/>
  <c r="N250"/>
  <c r="L250"/>
  <c r="AD250" s="1"/>
  <c r="AF250" s="1"/>
  <c r="K250"/>
  <c r="R249"/>
  <c r="P249"/>
  <c r="N249"/>
  <c r="L249"/>
  <c r="AD249" s="1"/>
  <c r="AF249" s="1"/>
  <c r="K249"/>
  <c r="R248"/>
  <c r="P248"/>
  <c r="N248"/>
  <c r="L248"/>
  <c r="AD248" s="1"/>
  <c r="AF248" s="1"/>
  <c r="K248"/>
  <c r="R247"/>
  <c r="P247"/>
  <c r="N247"/>
  <c r="L247"/>
  <c r="AD247" s="1"/>
  <c r="AF247" s="1"/>
  <c r="K247"/>
  <c r="R246"/>
  <c r="P246"/>
  <c r="N246"/>
  <c r="L246"/>
  <c r="AD246" s="1"/>
  <c r="AF246" s="1"/>
  <c r="K246"/>
  <c r="R245"/>
  <c r="P245"/>
  <c r="N245"/>
  <c r="L245"/>
  <c r="AD245" s="1"/>
  <c r="AF245" s="1"/>
  <c r="K245"/>
  <c r="R244"/>
  <c r="P244"/>
  <c r="N244"/>
  <c r="L244"/>
  <c r="AD244" s="1"/>
  <c r="AF244" s="1"/>
  <c r="K244"/>
  <c r="R243"/>
  <c r="P243"/>
  <c r="N243"/>
  <c r="L243"/>
  <c r="AD243" s="1"/>
  <c r="AF243" s="1"/>
  <c r="K243"/>
  <c r="R242"/>
  <c r="P242"/>
  <c r="N242"/>
  <c r="L242"/>
  <c r="AD242" s="1"/>
  <c r="AF242" s="1"/>
  <c r="K242"/>
  <c r="R241"/>
  <c r="P241"/>
  <c r="N241"/>
  <c r="L241"/>
  <c r="AD241" s="1"/>
  <c r="AF241" s="1"/>
  <c r="K241"/>
  <c r="R240"/>
  <c r="P240"/>
  <c r="N240"/>
  <c r="L240"/>
  <c r="AD240" s="1"/>
  <c r="AF240" s="1"/>
  <c r="K240"/>
  <c r="R239"/>
  <c r="P239"/>
  <c r="N239"/>
  <c r="L239"/>
  <c r="AD239" s="1"/>
  <c r="AF239" s="1"/>
  <c r="K239"/>
  <c r="R238"/>
  <c r="P238"/>
  <c r="N238"/>
  <c r="L238"/>
  <c r="AD238" s="1"/>
  <c r="AF238" s="1"/>
  <c r="K238"/>
  <c r="R237"/>
  <c r="P237"/>
  <c r="N237"/>
  <c r="L237"/>
  <c r="AD237" s="1"/>
  <c r="AF237" s="1"/>
  <c r="K237"/>
  <c r="R236"/>
  <c r="P236"/>
  <c r="N236"/>
  <c r="L236"/>
  <c r="AD236" s="1"/>
  <c r="AF236" s="1"/>
  <c r="K236"/>
  <c r="R235"/>
  <c r="P235"/>
  <c r="N235"/>
  <c r="L235"/>
  <c r="AD235" s="1"/>
  <c r="AF235" s="1"/>
  <c r="K235"/>
  <c r="R234"/>
  <c r="P234"/>
  <c r="N234"/>
  <c r="L234"/>
  <c r="AD234" s="1"/>
  <c r="AF234" s="1"/>
  <c r="K234"/>
  <c r="R233"/>
  <c r="P233"/>
  <c r="N233"/>
  <c r="L233"/>
  <c r="AD233" s="1"/>
  <c r="AF233" s="1"/>
  <c r="K233"/>
  <c r="R232"/>
  <c r="P232"/>
  <c r="N232"/>
  <c r="L232"/>
  <c r="AD232" s="1"/>
  <c r="AF232" s="1"/>
  <c r="K232"/>
  <c r="R231"/>
  <c r="P231"/>
  <c r="N231"/>
  <c r="L231"/>
  <c r="AD231" s="1"/>
  <c r="AF231" s="1"/>
  <c r="K231"/>
  <c r="R230"/>
  <c r="P230"/>
  <c r="N230"/>
  <c r="L230"/>
  <c r="AD230" s="1"/>
  <c r="AF230" s="1"/>
  <c r="K230"/>
  <c r="R229"/>
  <c r="P229"/>
  <c r="N229"/>
  <c r="L229"/>
  <c r="AD229" s="1"/>
  <c r="AF229" s="1"/>
  <c r="K229"/>
  <c r="R228"/>
  <c r="P228"/>
  <c r="N228"/>
  <c r="L228"/>
  <c r="AD228" s="1"/>
  <c r="AF228" s="1"/>
  <c r="K228"/>
  <c r="R227"/>
  <c r="P227"/>
  <c r="N227"/>
  <c r="L227"/>
  <c r="AD227" s="1"/>
  <c r="AF227" s="1"/>
  <c r="K227"/>
  <c r="R226"/>
  <c r="P226"/>
  <c r="N226"/>
  <c r="L226"/>
  <c r="AD226" s="1"/>
  <c r="AF226" s="1"/>
  <c r="K226"/>
  <c r="R225"/>
  <c r="P225"/>
  <c r="N225"/>
  <c r="L225"/>
  <c r="AD225" s="1"/>
  <c r="AF225" s="1"/>
  <c r="K225"/>
  <c r="R224"/>
  <c r="P224"/>
  <c r="N224"/>
  <c r="L224"/>
  <c r="AD224" s="1"/>
  <c r="AF224" s="1"/>
  <c r="K224"/>
  <c r="R223"/>
  <c r="P223"/>
  <c r="N223"/>
  <c r="L223"/>
  <c r="AD223" s="1"/>
  <c r="AF223" s="1"/>
  <c r="K223"/>
  <c r="R222"/>
  <c r="P222"/>
  <c r="N222"/>
  <c r="L222"/>
  <c r="AD222" s="1"/>
  <c r="AF222" s="1"/>
  <c r="K222"/>
  <c r="R221"/>
  <c r="P221"/>
  <c r="N221"/>
  <c r="L221"/>
  <c r="AD221" s="1"/>
  <c r="AF221" s="1"/>
  <c r="K221"/>
  <c r="R220"/>
  <c r="P220"/>
  <c r="N220"/>
  <c r="L220"/>
  <c r="AD220" s="1"/>
  <c r="AF220" s="1"/>
  <c r="K220"/>
  <c r="R219"/>
  <c r="P219"/>
  <c r="N219"/>
  <c r="L219"/>
  <c r="AD219" s="1"/>
  <c r="AF219" s="1"/>
  <c r="K219"/>
  <c r="R218"/>
  <c r="P218"/>
  <c r="N218"/>
  <c r="L218"/>
  <c r="AD218" s="1"/>
  <c r="AF218" s="1"/>
  <c r="K218"/>
  <c r="R217"/>
  <c r="P217"/>
  <c r="N217"/>
  <c r="L217"/>
  <c r="AD217" s="1"/>
  <c r="AF217" s="1"/>
  <c r="K217"/>
  <c r="R216"/>
  <c r="P216"/>
  <c r="N216"/>
  <c r="L216"/>
  <c r="AD216" s="1"/>
  <c r="AF216" s="1"/>
  <c r="K216"/>
  <c r="R215"/>
  <c r="P215"/>
  <c r="N215"/>
  <c r="L215"/>
  <c r="AD215" s="1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R198"/>
  <c r="P198"/>
  <c r="N198"/>
  <c r="L198"/>
  <c r="AD198" s="1"/>
  <c r="AF198" s="1"/>
  <c r="K198"/>
  <c r="R197"/>
  <c r="P197"/>
  <c r="N197"/>
  <c r="L197"/>
  <c r="AD197" s="1"/>
  <c r="AF197" s="1"/>
  <c r="K197"/>
  <c r="R196"/>
  <c r="P196"/>
  <c r="N196"/>
  <c r="L196"/>
  <c r="AD196" s="1"/>
  <c r="AF196" s="1"/>
  <c r="K196"/>
  <c r="R195"/>
  <c r="P195"/>
  <c r="N195"/>
  <c r="L195"/>
  <c r="AD195" s="1"/>
  <c r="AF195" s="1"/>
  <c r="K195"/>
  <c r="R194"/>
  <c r="P194"/>
  <c r="N194"/>
  <c r="L194"/>
  <c r="AD194" s="1"/>
  <c r="AF194" s="1"/>
  <c r="K194"/>
  <c r="R193"/>
  <c r="P193"/>
  <c r="N193"/>
  <c r="L193"/>
  <c r="AD193" s="1"/>
  <c r="AF193" s="1"/>
  <c r="K193"/>
  <c r="R192"/>
  <c r="P192"/>
  <c r="N192"/>
  <c r="L192"/>
  <c r="AD192" s="1"/>
  <c r="AF192" s="1"/>
  <c r="K192"/>
  <c r="R191"/>
  <c r="P191"/>
  <c r="N191"/>
  <c r="L191"/>
  <c r="AD191" s="1"/>
  <c r="AF191" s="1"/>
  <c r="K191"/>
  <c r="R190"/>
  <c r="P190"/>
  <c r="N190"/>
  <c r="L190"/>
  <c r="AD190" s="1"/>
  <c r="AF190" s="1"/>
  <c r="K190"/>
  <c r="R189"/>
  <c r="P189"/>
  <c r="N189"/>
  <c r="L189"/>
  <c r="AD189" s="1"/>
  <c r="AF189" s="1"/>
  <c r="K189"/>
  <c r="R188"/>
  <c r="P188"/>
  <c r="N188"/>
  <c r="L188"/>
  <c r="AD188" s="1"/>
  <c r="AF188" s="1"/>
  <c r="K188"/>
  <c r="R187"/>
  <c r="P187"/>
  <c r="N187"/>
  <c r="L187"/>
  <c r="AD187" s="1"/>
  <c r="AF187" s="1"/>
  <c r="K187"/>
  <c r="R186"/>
  <c r="P186"/>
  <c r="N186"/>
  <c r="L186"/>
  <c r="AD186" s="1"/>
  <c r="AF186" s="1"/>
  <c r="K186"/>
  <c r="R185"/>
  <c r="P185"/>
  <c r="N185"/>
  <c r="L185"/>
  <c r="AD185" s="1"/>
  <c r="AF185" s="1"/>
  <c r="K185"/>
  <c r="R184"/>
  <c r="P184"/>
  <c r="N184"/>
  <c r="L184"/>
  <c r="AD184" s="1"/>
  <c r="AF184" s="1"/>
  <c r="K184"/>
  <c r="R183"/>
  <c r="P183"/>
  <c r="N183"/>
  <c r="L183"/>
  <c r="AD183" s="1"/>
  <c r="AF183" s="1"/>
  <c r="K183"/>
  <c r="R182"/>
  <c r="P182"/>
  <c r="N182"/>
  <c r="L182"/>
  <c r="AD182" s="1"/>
  <c r="AF182" s="1"/>
  <c r="K182"/>
  <c r="R181"/>
  <c r="P181"/>
  <c r="N181"/>
  <c r="L181"/>
  <c r="AD181" s="1"/>
  <c r="AF181" s="1"/>
  <c r="K181"/>
  <c r="R180"/>
  <c r="P180"/>
  <c r="N180"/>
  <c r="L180"/>
  <c r="AD180" s="1"/>
  <c r="AF180" s="1"/>
  <c r="K180"/>
  <c r="R179"/>
  <c r="P179"/>
  <c r="N179"/>
  <c r="L179"/>
  <c r="AD179" s="1"/>
  <c r="AF179" s="1"/>
  <c r="K179"/>
  <c r="R178"/>
  <c r="P178"/>
  <c r="N178"/>
  <c r="L178"/>
  <c r="AD178" s="1"/>
  <c r="AF178" s="1"/>
  <c r="K178"/>
  <c r="R177"/>
  <c r="P177"/>
  <c r="N177"/>
  <c r="L177"/>
  <c r="AD177" s="1"/>
  <c r="AF177" s="1"/>
  <c r="K177"/>
  <c r="R176"/>
  <c r="P176"/>
  <c r="N176"/>
  <c r="L176"/>
  <c r="AD176" s="1"/>
  <c r="AF176" s="1"/>
  <c r="K176"/>
  <c r="R175"/>
  <c r="P175"/>
  <c r="N175"/>
  <c r="L175"/>
  <c r="AD175" s="1"/>
  <c r="AF175" s="1"/>
  <c r="K175"/>
  <c r="R174"/>
  <c r="P174"/>
  <c r="N174"/>
  <c r="L174"/>
  <c r="AD174" s="1"/>
  <c r="AF174" s="1"/>
  <c r="K174"/>
  <c r="R173"/>
  <c r="P173"/>
  <c r="N173"/>
  <c r="L173"/>
  <c r="AD173" s="1"/>
  <c r="AF173" s="1"/>
  <c r="K173"/>
  <c r="R172"/>
  <c r="P172"/>
  <c r="N172"/>
  <c r="L172"/>
  <c r="AD172" s="1"/>
  <c r="AF172" s="1"/>
  <c r="K172"/>
  <c r="R171"/>
  <c r="P171"/>
  <c r="N171"/>
  <c r="L171"/>
  <c r="AD171" s="1"/>
  <c r="AF171" s="1"/>
  <c r="K171"/>
  <c r="R170"/>
  <c r="P170"/>
  <c r="N170"/>
  <c r="L170"/>
  <c r="AD170" s="1"/>
  <c r="AF170" s="1"/>
  <c r="K170"/>
  <c r="R169"/>
  <c r="P169"/>
  <c r="N169"/>
  <c r="L169"/>
  <c r="AD169" s="1"/>
  <c r="AF169" s="1"/>
  <c r="K169"/>
  <c r="R168"/>
  <c r="P168"/>
  <c r="N168"/>
  <c r="L168"/>
  <c r="AD168" s="1"/>
  <c r="AF168" s="1"/>
  <c r="K168"/>
  <c r="R167"/>
  <c r="P167"/>
  <c r="N167"/>
  <c r="L167"/>
  <c r="AD167" s="1"/>
  <c r="AF167" s="1"/>
  <c r="K167"/>
  <c r="R166"/>
  <c r="P166"/>
  <c r="N166"/>
  <c r="L166"/>
  <c r="AD166" s="1"/>
  <c r="AF166" s="1"/>
  <c r="K166"/>
  <c r="R165"/>
  <c r="P165"/>
  <c r="N165"/>
  <c r="L165"/>
  <c r="AD165" s="1"/>
  <c r="AF165" s="1"/>
  <c r="K165"/>
  <c r="R164"/>
  <c r="P164"/>
  <c r="N164"/>
  <c r="L164"/>
  <c r="AD164" s="1"/>
  <c r="AF164" s="1"/>
  <c r="K164"/>
  <c r="R163"/>
  <c r="P163"/>
  <c r="N163"/>
  <c r="L163"/>
  <c r="AD163" s="1"/>
  <c r="AF163" s="1"/>
  <c r="K163"/>
  <c r="R162"/>
  <c r="P162"/>
  <c r="N162"/>
  <c r="L162"/>
  <c r="AD162" s="1"/>
  <c r="AF162" s="1"/>
  <c r="K162"/>
  <c r="R161"/>
  <c r="P161"/>
  <c r="N161"/>
  <c r="L161"/>
  <c r="AD161" s="1"/>
  <c r="AF161" s="1"/>
  <c r="K161"/>
  <c r="R160"/>
  <c r="P160"/>
  <c r="N160"/>
  <c r="L160"/>
  <c r="AD160" s="1"/>
  <c r="AF160" s="1"/>
  <c r="K160"/>
  <c r="R159"/>
  <c r="P159"/>
  <c r="N159"/>
  <c r="L159"/>
  <c r="AD159" s="1"/>
  <c r="AF159" s="1"/>
  <c r="K159"/>
  <c r="R158"/>
  <c r="P158"/>
  <c r="N158"/>
  <c r="L158"/>
  <c r="AD158" s="1"/>
  <c r="AF158" s="1"/>
  <c r="K158"/>
  <c r="R157"/>
  <c r="P157"/>
  <c r="N157"/>
  <c r="L157"/>
  <c r="AD157" s="1"/>
  <c r="AF157" s="1"/>
  <c r="K157"/>
  <c r="R156"/>
  <c r="P156"/>
  <c r="N156"/>
  <c r="L156"/>
  <c r="AD156" s="1"/>
  <c r="AF156" s="1"/>
  <c r="K156"/>
  <c r="R155"/>
  <c r="P155"/>
  <c r="N155"/>
  <c r="L155"/>
  <c r="AD155" s="1"/>
  <c r="AF155" s="1"/>
  <c r="K155"/>
  <c r="R154"/>
  <c r="P154"/>
  <c r="N154"/>
  <c r="L154"/>
  <c r="AD154" s="1"/>
  <c r="AF154" s="1"/>
  <c r="K154"/>
  <c r="R153"/>
  <c r="P153"/>
  <c r="N153"/>
  <c r="L153"/>
  <c r="AD153" s="1"/>
  <c r="AF153" s="1"/>
  <c r="K153"/>
  <c r="R152"/>
  <c r="P152"/>
  <c r="N152"/>
  <c r="L152"/>
  <c r="AD152" s="1"/>
  <c r="AF152" s="1"/>
  <c r="K152"/>
  <c r="R151"/>
  <c r="P151"/>
  <c r="N151"/>
  <c r="L151"/>
  <c r="AD151" s="1"/>
  <c r="AF151" s="1"/>
  <c r="K151"/>
  <c r="R150"/>
  <c r="P150"/>
  <c r="N150"/>
  <c r="L150"/>
  <c r="AD150" s="1"/>
  <c r="AF150" s="1"/>
  <c r="K150"/>
  <c r="R149"/>
  <c r="P149"/>
  <c r="N149"/>
  <c r="L149"/>
  <c r="AD149" s="1"/>
  <c r="AF149" s="1"/>
  <c r="K149"/>
  <c r="R148"/>
  <c r="P148"/>
  <c r="N148"/>
  <c r="L148"/>
  <c r="AD148" s="1"/>
  <c r="AF148" s="1"/>
  <c r="K148"/>
  <c r="R147"/>
  <c r="P147"/>
  <c r="N147"/>
  <c r="L147"/>
  <c r="AD147" s="1"/>
  <c r="AF147" s="1"/>
  <c r="K147"/>
  <c r="R146"/>
  <c r="P146"/>
  <c r="N146"/>
  <c r="L146"/>
  <c r="AD146" s="1"/>
  <c r="AF146" s="1"/>
  <c r="K146"/>
  <c r="R145"/>
  <c r="P145"/>
  <c r="N145"/>
  <c r="L145"/>
  <c r="AD145" s="1"/>
  <c r="AF145" s="1"/>
  <c r="K145"/>
  <c r="R144"/>
  <c r="P144"/>
  <c r="N144"/>
  <c r="L144"/>
  <c r="AD144" s="1"/>
  <c r="AF144" s="1"/>
  <c r="K144"/>
  <c r="R143"/>
  <c r="P143"/>
  <c r="N143"/>
  <c r="L143"/>
  <c r="AD143" s="1"/>
  <c r="AF143" s="1"/>
  <c r="K143"/>
  <c r="R142"/>
  <c r="P142"/>
  <c r="N142"/>
  <c r="L142"/>
  <c r="AD142" s="1"/>
  <c r="AF142" s="1"/>
  <c r="K142"/>
  <c r="R141"/>
  <c r="P141"/>
  <c r="N141"/>
  <c r="L141"/>
  <c r="AD141" s="1"/>
  <c r="AF141" s="1"/>
  <c r="K141"/>
  <c r="R140"/>
  <c r="P140"/>
  <c r="N140"/>
  <c r="L140"/>
  <c r="AD140" s="1"/>
  <c r="AF140" s="1"/>
  <c r="K140"/>
  <c r="R139"/>
  <c r="P139"/>
  <c r="N139"/>
  <c r="L139"/>
  <c r="AD139" s="1"/>
  <c r="AF139" s="1"/>
  <c r="K139"/>
  <c r="R138"/>
  <c r="P138"/>
  <c r="N138"/>
  <c r="L138"/>
  <c r="AD138" s="1"/>
  <c r="AF138" s="1"/>
  <c r="K138"/>
  <c r="R137"/>
  <c r="P137"/>
  <c r="N137"/>
  <c r="L137"/>
  <c r="AD137" s="1"/>
  <c r="AF137" s="1"/>
  <c r="K137"/>
  <c r="R136"/>
  <c r="P136"/>
  <c r="N136"/>
  <c r="L136"/>
  <c r="AD136" s="1"/>
  <c r="AF136" s="1"/>
  <c r="K136"/>
  <c r="R135"/>
  <c r="P135"/>
  <c r="N135"/>
  <c r="L135"/>
  <c r="AD135" s="1"/>
  <c r="AF135" s="1"/>
  <c r="K135"/>
  <c r="R134"/>
  <c r="P134"/>
  <c r="N134"/>
  <c r="L134"/>
  <c r="AD134" s="1"/>
  <c r="AF134" s="1"/>
  <c r="K134"/>
  <c r="R133"/>
  <c r="P133"/>
  <c r="N133"/>
  <c r="L133"/>
  <c r="AD133" s="1"/>
  <c r="AF133" s="1"/>
  <c r="K133"/>
  <c r="R132"/>
  <c r="P132"/>
  <c r="N132"/>
  <c r="L132"/>
  <c r="AD132" s="1"/>
  <c r="AF132" s="1"/>
  <c r="K132"/>
  <c r="R131"/>
  <c r="P131"/>
  <c r="N131"/>
  <c r="L131"/>
  <c r="AD131" s="1"/>
  <c r="AF131" s="1"/>
  <c r="K131"/>
  <c r="R130"/>
  <c r="P130"/>
  <c r="N130"/>
  <c r="L130"/>
  <c r="AD130" s="1"/>
  <c r="AF130" s="1"/>
  <c r="K130"/>
  <c r="R129"/>
  <c r="P129"/>
  <c r="N129"/>
  <c r="L129"/>
  <c r="AD129" s="1"/>
  <c r="AF129" s="1"/>
  <c r="K129"/>
  <c r="R128"/>
  <c r="P128"/>
  <c r="N128"/>
  <c r="L128"/>
  <c r="AD128" s="1"/>
  <c r="AF128" s="1"/>
  <c r="K128"/>
  <c r="R127"/>
  <c r="P127"/>
  <c r="N127"/>
  <c r="L127"/>
  <c r="AD127" s="1"/>
  <c r="AF127" s="1"/>
  <c r="K127"/>
  <c r="R126"/>
  <c r="P126"/>
  <c r="N126"/>
  <c r="L126"/>
  <c r="AD126" s="1"/>
  <c r="AF126" s="1"/>
  <c r="K126"/>
  <c r="R125"/>
  <c r="P125"/>
  <c r="N125"/>
  <c r="L125"/>
  <c r="AD125" s="1"/>
  <c r="AF125" s="1"/>
  <c r="K125"/>
  <c r="R124"/>
  <c r="P124"/>
  <c r="N124"/>
  <c r="L124"/>
  <c r="AD124" s="1"/>
  <c r="AF124" s="1"/>
  <c r="K124"/>
  <c r="R123"/>
  <c r="P123"/>
  <c r="N123"/>
  <c r="L123"/>
  <c r="AD123" s="1"/>
  <c r="AF123" s="1"/>
  <c r="K123"/>
  <c r="R122"/>
  <c r="P122"/>
  <c r="N122"/>
  <c r="L122"/>
  <c r="AD122" s="1"/>
  <c r="AF122" s="1"/>
  <c r="K122"/>
  <c r="R121"/>
  <c r="P121"/>
  <c r="N121"/>
  <c r="L121"/>
  <c r="AD121" s="1"/>
  <c r="AF121" s="1"/>
  <c r="K121"/>
  <c r="R120"/>
  <c r="P120"/>
  <c r="N120"/>
  <c r="L120"/>
  <c r="AD120" s="1"/>
  <c r="AF120" s="1"/>
  <c r="K120"/>
  <c r="R119"/>
  <c r="P119"/>
  <c r="N119"/>
  <c r="L119"/>
  <c r="AD119" s="1"/>
  <c r="AF119" s="1"/>
  <c r="K119"/>
  <c r="R118"/>
  <c r="P118"/>
  <c r="N118"/>
  <c r="L118"/>
  <c r="AD118" s="1"/>
  <c r="AF118" s="1"/>
  <c r="K118"/>
  <c r="R117"/>
  <c r="P117"/>
  <c r="N117"/>
  <c r="L117"/>
  <c r="AD117" s="1"/>
  <c r="AF117" s="1"/>
  <c r="K117"/>
  <c r="R116"/>
  <c r="P116"/>
  <c r="N116"/>
  <c r="L116"/>
  <c r="AD116" s="1"/>
  <c r="AF116" s="1"/>
  <c r="K116"/>
  <c r="R115"/>
  <c r="P115"/>
  <c r="N115"/>
  <c r="L115"/>
  <c r="AD115" s="1"/>
  <c r="AF115" s="1"/>
  <c r="K115"/>
  <c r="R114"/>
  <c r="P114"/>
  <c r="N114"/>
  <c r="L114"/>
  <c r="AD114" s="1"/>
  <c r="AF114" s="1"/>
  <c r="K114"/>
  <c r="R113"/>
  <c r="P113"/>
  <c r="N113"/>
  <c r="L113"/>
  <c r="AD113" s="1"/>
  <c r="AF113" s="1"/>
  <c r="K113"/>
  <c r="R112"/>
  <c r="P112"/>
  <c r="N112"/>
  <c r="L112"/>
  <c r="AD112" s="1"/>
  <c r="AF112" s="1"/>
  <c r="K112"/>
  <c r="R111"/>
  <c r="P111"/>
  <c r="N111"/>
  <c r="L111"/>
  <c r="AD111" s="1"/>
  <c r="AF111" s="1"/>
  <c r="K111"/>
  <c r="R110"/>
  <c r="P110"/>
  <c r="N110"/>
  <c r="L110"/>
  <c r="AD110" s="1"/>
  <c r="AF110" s="1"/>
  <c r="K110"/>
  <c r="R109"/>
  <c r="P109"/>
  <c r="N109"/>
  <c r="L109"/>
  <c r="AD109" s="1"/>
  <c r="AF109" s="1"/>
  <c r="K109"/>
  <c r="R108"/>
  <c r="P108"/>
  <c r="N108"/>
  <c r="L108"/>
  <c r="AD108" s="1"/>
  <c r="AF108" s="1"/>
  <c r="K108"/>
  <c r="R107"/>
  <c r="P107"/>
  <c r="N107"/>
  <c r="L107"/>
  <c r="AD107" s="1"/>
  <c r="AF107" s="1"/>
  <c r="K107"/>
  <c r="R106"/>
  <c r="P106"/>
  <c r="N106"/>
  <c r="L106"/>
  <c r="AD106" s="1"/>
  <c r="AF106" s="1"/>
  <c r="K106"/>
  <c r="R105"/>
  <c r="P105"/>
  <c r="N105"/>
  <c r="L105"/>
  <c r="AD105" s="1"/>
  <c r="AF105" s="1"/>
  <c r="K105"/>
  <c r="R104"/>
  <c r="P104"/>
  <c r="N104"/>
  <c r="L104"/>
  <c r="AD104" s="1"/>
  <c r="AF104" s="1"/>
  <c r="K104"/>
  <c r="R103"/>
  <c r="P103"/>
  <c r="N103"/>
  <c r="L103"/>
  <c r="AD103" s="1"/>
  <c r="AF103" s="1"/>
  <c r="K103"/>
  <c r="R102"/>
  <c r="P102"/>
  <c r="N102"/>
  <c r="L102"/>
  <c r="AD102" s="1"/>
  <c r="AF102" s="1"/>
  <c r="K102"/>
  <c r="R101"/>
  <c r="P101"/>
  <c r="N101"/>
  <c r="L101"/>
  <c r="AD101" s="1"/>
  <c r="AF101" s="1"/>
  <c r="K101"/>
  <c r="R100"/>
  <c r="P100"/>
  <c r="N100"/>
  <c r="L100"/>
  <c r="AD100" s="1"/>
  <c r="AF100" s="1"/>
  <c r="K100"/>
  <c r="R99"/>
  <c r="P99"/>
  <c r="N99"/>
  <c r="L99"/>
  <c r="AD99" s="1"/>
  <c r="AF99" s="1"/>
  <c r="K99"/>
  <c r="R98"/>
  <c r="P98"/>
  <c r="N98"/>
  <c r="L98"/>
  <c r="AD98" s="1"/>
  <c r="AF98" s="1"/>
  <c r="K98"/>
  <c r="R97"/>
  <c r="P97"/>
  <c r="N97"/>
  <c r="L97"/>
  <c r="AD97" s="1"/>
  <c r="AF97" s="1"/>
  <c r="K97"/>
  <c r="R96"/>
  <c r="P96"/>
  <c r="N96"/>
  <c r="L96"/>
  <c r="AD96" s="1"/>
  <c r="AF96" s="1"/>
  <c r="K96"/>
  <c r="R95"/>
  <c r="P95"/>
  <c r="N95"/>
  <c r="L95"/>
  <c r="AD95" s="1"/>
  <c r="AF95" s="1"/>
  <c r="K95"/>
  <c r="R94"/>
  <c r="P94"/>
  <c r="N94"/>
  <c r="L94"/>
  <c r="AD94" s="1"/>
  <c r="AF94" s="1"/>
  <c r="K94"/>
  <c r="R93"/>
  <c r="P93"/>
  <c r="N93"/>
  <c r="L93"/>
  <c r="AD93" s="1"/>
  <c r="AF93" s="1"/>
  <c r="K93"/>
  <c r="R92"/>
  <c r="P92"/>
  <c r="N92"/>
  <c r="L92"/>
  <c r="AD92" s="1"/>
  <c r="AF92" s="1"/>
  <c r="K92"/>
  <c r="R91"/>
  <c r="P91"/>
  <c r="N91"/>
  <c r="L91"/>
  <c r="AD91" s="1"/>
  <c r="AF91" s="1"/>
  <c r="K91"/>
  <c r="R90"/>
  <c r="P90"/>
  <c r="N90"/>
  <c r="L90"/>
  <c r="AD90" s="1"/>
  <c r="AF90" s="1"/>
  <c r="K90"/>
  <c r="R89"/>
  <c r="P89"/>
  <c r="N89"/>
  <c r="L89"/>
  <c r="AD89" s="1"/>
  <c r="AF89" s="1"/>
  <c r="K89"/>
  <c r="R88"/>
  <c r="P88"/>
  <c r="N88"/>
  <c r="L88"/>
  <c r="AD88" s="1"/>
  <c r="AF88" s="1"/>
  <c r="K88"/>
  <c r="R87"/>
  <c r="P87"/>
  <c r="N87"/>
  <c r="L87"/>
  <c r="AD87" s="1"/>
  <c r="AF87" s="1"/>
  <c r="K87"/>
  <c r="R86"/>
  <c r="P86"/>
  <c r="N86"/>
  <c r="L86"/>
  <c r="AD86" s="1"/>
  <c r="AF86" s="1"/>
  <c r="K86"/>
  <c r="R85"/>
  <c r="P85"/>
  <c r="N85"/>
  <c r="L85"/>
  <c r="AD85" s="1"/>
  <c r="AF85" s="1"/>
  <c r="K85"/>
  <c r="R84"/>
  <c r="P84"/>
  <c r="N84"/>
  <c r="L84"/>
  <c r="AD84" s="1"/>
  <c r="AF84" s="1"/>
  <c r="K84"/>
  <c r="R83"/>
  <c r="P83"/>
  <c r="N83"/>
  <c r="L83"/>
  <c r="AD83" s="1"/>
  <c r="AF83" s="1"/>
  <c r="K83"/>
  <c r="R82"/>
  <c r="P82"/>
  <c r="N82"/>
  <c r="L82"/>
  <c r="AD82" s="1"/>
  <c r="AF82" s="1"/>
  <c r="K82"/>
  <c r="R81"/>
  <c r="P81"/>
  <c r="N81"/>
  <c r="L81"/>
  <c r="AD81" s="1"/>
  <c r="AF81" s="1"/>
  <c r="K81"/>
  <c r="R80"/>
  <c r="P80"/>
  <c r="N80"/>
  <c r="L80"/>
  <c r="AD80" s="1"/>
  <c r="AF80" s="1"/>
  <c r="K80"/>
  <c r="R79"/>
  <c r="P79"/>
  <c r="N79"/>
  <c r="L79"/>
  <c r="AD79" s="1"/>
  <c r="AF79" s="1"/>
  <c r="K79"/>
  <c r="R78"/>
  <c r="P78"/>
  <c r="N78"/>
  <c r="L78"/>
  <c r="AD78" s="1"/>
  <c r="AF78" s="1"/>
  <c r="K78"/>
  <c r="R77"/>
  <c r="P77"/>
  <c r="N77"/>
  <c r="L77"/>
  <c r="AD77" s="1"/>
  <c r="AF77" s="1"/>
  <c r="K77"/>
  <c r="R76"/>
  <c r="P76"/>
  <c r="N76"/>
  <c r="L76"/>
  <c r="AD76" s="1"/>
  <c r="AF76" s="1"/>
  <c r="K76"/>
  <c r="R75"/>
  <c r="P75"/>
  <c r="N75"/>
  <c r="L75"/>
  <c r="AD75" s="1"/>
  <c r="AF75" s="1"/>
  <c r="K75"/>
  <c r="R74"/>
  <c r="P74"/>
  <c r="N74"/>
  <c r="L74"/>
  <c r="AD74" s="1"/>
  <c r="AF74" s="1"/>
  <c r="K74"/>
  <c r="R73"/>
  <c r="P73"/>
  <c r="N73"/>
  <c r="L73"/>
  <c r="AD73" s="1"/>
  <c r="AF73" s="1"/>
  <c r="K73"/>
  <c r="R72"/>
  <c r="P72"/>
  <c r="N72"/>
  <c r="L72"/>
  <c r="AD72" s="1"/>
  <c r="AF72" s="1"/>
  <c r="K72"/>
  <c r="R71"/>
  <c r="P71"/>
  <c r="N71"/>
  <c r="L71"/>
  <c r="AD71" s="1"/>
  <c r="AF71" s="1"/>
  <c r="K71"/>
  <c r="R70"/>
  <c r="P70"/>
  <c r="N70"/>
  <c r="L70"/>
  <c r="AD70" s="1"/>
  <c r="AF70" s="1"/>
  <c r="K70"/>
  <c r="R69"/>
  <c r="P69"/>
  <c r="N69"/>
  <c r="L69"/>
  <c r="AD69" s="1"/>
  <c r="AF69" s="1"/>
  <c r="K69"/>
  <c r="R68"/>
  <c r="P68"/>
  <c r="N68"/>
  <c r="L68"/>
  <c r="AD68" s="1"/>
  <c r="AF68" s="1"/>
  <c r="K68"/>
  <c r="R67"/>
  <c r="P67"/>
  <c r="N67"/>
  <c r="L67"/>
  <c r="AD67" s="1"/>
  <c r="AF67" s="1"/>
  <c r="K67"/>
  <c r="R66"/>
  <c r="P66"/>
  <c r="N66"/>
  <c r="L66"/>
  <c r="AD66" s="1"/>
  <c r="AF66" s="1"/>
  <c r="K66"/>
  <c r="R65"/>
  <c r="P65"/>
  <c r="N65"/>
  <c r="L65"/>
  <c r="AD65" s="1"/>
  <c r="AF65" s="1"/>
  <c r="K65"/>
  <c r="R64"/>
  <c r="P64"/>
  <c r="N64"/>
  <c r="L64"/>
  <c r="AD64" s="1"/>
  <c r="AF64" s="1"/>
  <c r="K64"/>
  <c r="R63"/>
  <c r="P63"/>
  <c r="N63"/>
  <c r="L63"/>
  <c r="AD63" s="1"/>
  <c r="AF63" s="1"/>
  <c r="K63"/>
  <c r="R62"/>
  <c r="P62"/>
  <c r="N62"/>
  <c r="L62"/>
  <c r="AD62" s="1"/>
  <c r="AF62" s="1"/>
  <c r="K62"/>
  <c r="R61"/>
  <c r="N61"/>
  <c r="P61" s="1"/>
  <c r="L61"/>
  <c r="AD61" s="1"/>
  <c r="AF61" s="1"/>
  <c r="K61"/>
  <c r="R60"/>
  <c r="N60"/>
  <c r="P60" s="1"/>
  <c r="L60"/>
  <c r="AD60" s="1"/>
  <c r="AF60" s="1"/>
  <c r="K60"/>
  <c r="R59"/>
  <c r="N59"/>
  <c r="P59" s="1"/>
  <c r="L59"/>
  <c r="AD59" s="1"/>
  <c r="AF59" s="1"/>
  <c r="K59"/>
  <c r="R58"/>
  <c r="N58"/>
  <c r="P58" s="1"/>
  <c r="L58"/>
  <c r="AD58" s="1"/>
  <c r="AF58" s="1"/>
  <c r="K58"/>
  <c r="R57"/>
  <c r="N57"/>
  <c r="P57" s="1"/>
  <c r="L57"/>
  <c r="AD57" s="1"/>
  <c r="AF57" s="1"/>
  <c r="K57"/>
  <c r="R56"/>
  <c r="N56"/>
  <c r="P56" s="1"/>
  <c r="L56"/>
  <c r="AD56" s="1"/>
  <c r="AF56" s="1"/>
  <c r="K56"/>
  <c r="R55"/>
  <c r="N55"/>
  <c r="P55" s="1"/>
  <c r="L55"/>
  <c r="AD55" s="1"/>
  <c r="AF55" s="1"/>
  <c r="K55"/>
  <c r="R54"/>
  <c r="N54"/>
  <c r="P54" s="1"/>
  <c r="L54"/>
  <c r="AD54" s="1"/>
  <c r="AF54" s="1"/>
  <c r="K54"/>
  <c r="R53"/>
  <c r="N53"/>
  <c r="P53" s="1"/>
  <c r="L53"/>
  <c r="AD53" s="1"/>
  <c r="AF53" s="1"/>
  <c r="K53"/>
  <c r="R52"/>
  <c r="N52"/>
  <c r="P52" s="1"/>
  <c r="L52"/>
  <c r="AD52" s="1"/>
  <c r="AF52" s="1"/>
  <c r="K52"/>
  <c r="R51"/>
  <c r="N51"/>
  <c r="P51" s="1"/>
  <c r="L51"/>
  <c r="AD51" s="1"/>
  <c r="AF51" s="1"/>
  <c r="K51"/>
  <c r="R50"/>
  <c r="N50"/>
  <c r="P50" s="1"/>
  <c r="L50"/>
  <c r="AD50" s="1"/>
  <c r="AF50" s="1"/>
  <c r="K50"/>
  <c r="R49"/>
  <c r="N49"/>
  <c r="P49" s="1"/>
  <c r="L49"/>
  <c r="AD49" s="1"/>
  <c r="AF49" s="1"/>
  <c r="K49"/>
  <c r="R48"/>
  <c r="N48"/>
  <c r="P48" s="1"/>
  <c r="L48"/>
  <c r="AD48" s="1"/>
  <c r="AF48" s="1"/>
  <c r="K48"/>
  <c r="R47"/>
  <c r="N47"/>
  <c r="P47" s="1"/>
  <c r="L47"/>
  <c r="AD47" s="1"/>
  <c r="AF47" s="1"/>
  <c r="K47"/>
  <c r="R46"/>
  <c r="N46"/>
  <c r="P46" s="1"/>
  <c r="L46"/>
  <c r="AD46" s="1"/>
  <c r="AF46" s="1"/>
  <c r="K46"/>
  <c r="R45"/>
  <c r="N45"/>
  <c r="P45" s="1"/>
  <c r="L45"/>
  <c r="AD45" s="1"/>
  <c r="AF45" s="1"/>
  <c r="K45"/>
  <c r="R44"/>
  <c r="N44"/>
  <c r="P44" s="1"/>
  <c r="L44"/>
  <c r="AD44" s="1"/>
  <c r="AF44" s="1"/>
  <c r="K44"/>
  <c r="R43"/>
  <c r="N43"/>
  <c r="P43" s="1"/>
  <c r="L43"/>
  <c r="AD43" s="1"/>
  <c r="AF43" s="1"/>
  <c r="K43"/>
  <c r="R42"/>
  <c r="N42"/>
  <c r="P42" s="1"/>
  <c r="L42"/>
  <c r="AD42" s="1"/>
  <c r="AF42" s="1"/>
  <c r="K42"/>
  <c r="R41"/>
  <c r="N41"/>
  <c r="P41" s="1"/>
  <c r="L41"/>
  <c r="AD41" s="1"/>
  <c r="AF41" s="1"/>
  <c r="K41"/>
  <c r="R40"/>
  <c r="N40"/>
  <c r="P40" s="1"/>
  <c r="L40"/>
  <c r="AD40" s="1"/>
  <c r="AF40" s="1"/>
  <c r="K40"/>
  <c r="R39"/>
  <c r="N39"/>
  <c r="P39" s="1"/>
  <c r="L39"/>
  <c r="AD39" s="1"/>
  <c r="AF39" s="1"/>
  <c r="K39"/>
  <c r="R38"/>
  <c r="N38"/>
  <c r="P38" s="1"/>
  <c r="L38"/>
  <c r="AD38" s="1"/>
  <c r="AF38" s="1"/>
  <c r="K38"/>
  <c r="R37"/>
  <c r="N37"/>
  <c r="P37" s="1"/>
  <c r="L37"/>
  <c r="AD37" s="1"/>
  <c r="AF37" s="1"/>
  <c r="K37"/>
  <c r="R36"/>
  <c r="N36"/>
  <c r="P36" s="1"/>
  <c r="L36"/>
  <c r="AD36" s="1"/>
  <c r="AF36" s="1"/>
  <c r="K36"/>
  <c r="R35"/>
  <c r="N35"/>
  <c r="P35" s="1"/>
  <c r="L35"/>
  <c r="AD35" s="1"/>
  <c r="AF35" s="1"/>
  <c r="K35"/>
  <c r="R34"/>
  <c r="N34"/>
  <c r="P34" s="1"/>
  <c r="L34"/>
  <c r="AD34" s="1"/>
  <c r="AF34" s="1"/>
  <c r="K34"/>
  <c r="R33"/>
  <c r="N33"/>
  <c r="P33" s="1"/>
  <c r="L33"/>
  <c r="AD33" s="1"/>
  <c r="AF33" s="1"/>
  <c r="K33"/>
  <c r="R32"/>
  <c r="N32"/>
  <c r="P32" s="1"/>
  <c r="L32"/>
  <c r="AD32" s="1"/>
  <c r="AF32" s="1"/>
  <c r="K32"/>
  <c r="R31"/>
  <c r="N31"/>
  <c r="P31" s="1"/>
  <c r="L31"/>
  <c r="AD31" s="1"/>
  <c r="AF31" s="1"/>
  <c r="K31"/>
  <c r="R30"/>
  <c r="N30"/>
  <c r="P30" s="1"/>
  <c r="L30"/>
  <c r="AD30" s="1"/>
  <c r="AF30" s="1"/>
  <c r="K30"/>
  <c r="R29"/>
  <c r="N29"/>
  <c r="P29" s="1"/>
  <c r="L29"/>
  <c r="AD29" s="1"/>
  <c r="AF29" s="1"/>
  <c r="K29"/>
  <c r="R28"/>
  <c r="N28"/>
  <c r="P28" s="1"/>
  <c r="L28"/>
  <c r="AD28" s="1"/>
  <c r="AF28" s="1"/>
  <c r="K28"/>
  <c r="R27"/>
  <c r="N27"/>
  <c r="P27" s="1"/>
  <c r="L27"/>
  <c r="AD27" s="1"/>
  <c r="AF27" s="1"/>
  <c r="K27"/>
  <c r="R26"/>
  <c r="N26"/>
  <c r="P26" s="1"/>
  <c r="L26"/>
  <c r="AD26" s="1"/>
  <c r="AF26" s="1"/>
  <c r="K26"/>
  <c r="R25"/>
  <c r="N25"/>
  <c r="P25" s="1"/>
  <c r="L25"/>
  <c r="AD25" s="1"/>
  <c r="AF25" s="1"/>
  <c r="K25"/>
  <c r="R24"/>
  <c r="N24"/>
  <c r="P24" s="1"/>
  <c r="L24"/>
  <c r="AD24" s="1"/>
  <c r="AF24" s="1"/>
  <c r="K24"/>
  <c r="R23"/>
  <c r="N23"/>
  <c r="P23" s="1"/>
  <c r="L23"/>
  <c r="AD23" s="1"/>
  <c r="AF23" s="1"/>
  <c r="K23"/>
  <c r="R22"/>
  <c r="N22"/>
  <c r="P22" s="1"/>
  <c r="L22"/>
  <c r="AD22" s="1"/>
  <c r="AF22" s="1"/>
  <c r="K22"/>
  <c r="R21"/>
  <c r="N21"/>
  <c r="P21" s="1"/>
  <c r="L21"/>
  <c r="AD21" s="1"/>
  <c r="AF21" s="1"/>
  <c r="K21"/>
  <c r="R20"/>
  <c r="N20"/>
  <c r="P20" s="1"/>
  <c r="L20"/>
  <c r="AD20" s="1"/>
  <c r="AF20" s="1"/>
  <c r="K20"/>
  <c r="R19"/>
  <c r="N19"/>
  <c r="P19" s="1"/>
  <c r="L19"/>
  <c r="AD19" s="1"/>
  <c r="AF19" s="1"/>
  <c r="K19"/>
  <c r="R18"/>
  <c r="N18"/>
  <c r="P18" s="1"/>
  <c r="L18"/>
  <c r="AD18" s="1"/>
  <c r="AF18" s="1"/>
  <c r="K18"/>
  <c r="R17"/>
  <c r="N17"/>
  <c r="P17" s="1"/>
  <c r="L17"/>
  <c r="AD17" s="1"/>
  <c r="AF17" s="1"/>
  <c r="K17"/>
  <c r="R16"/>
  <c r="N16"/>
  <c r="P16" s="1"/>
  <c r="L16"/>
  <c r="AD16" s="1"/>
  <c r="AF16" s="1"/>
  <c r="K16"/>
  <c r="R15"/>
  <c r="N15"/>
  <c r="P15" s="1"/>
  <c r="L15"/>
  <c r="AD15" s="1"/>
  <c r="AF15" s="1"/>
  <c r="K15"/>
  <c r="R14"/>
  <c r="N14"/>
  <c r="P14" s="1"/>
  <c r="L14"/>
  <c r="AD14" s="1"/>
  <c r="AF14" s="1"/>
  <c r="K14"/>
  <c r="R13"/>
  <c r="N13"/>
  <c r="P13" s="1"/>
  <c r="L13"/>
  <c r="AD13" s="1"/>
  <c r="AF13" s="1"/>
  <c r="K13"/>
  <c r="R12"/>
  <c r="N12"/>
  <c r="P12" s="1"/>
  <c r="L12"/>
  <c r="AD12" s="1"/>
  <c r="AF12" s="1"/>
  <c r="K12"/>
  <c r="R11"/>
  <c r="N11"/>
  <c r="P11" s="1"/>
  <c r="L11"/>
  <c r="AD11" s="1"/>
  <c r="AF11" s="1"/>
  <c r="K11"/>
  <c r="R10"/>
  <c r="N10"/>
  <c r="P10" s="1"/>
  <c r="L10"/>
  <c r="AD10" s="1"/>
  <c r="AF10" s="1"/>
  <c r="K10"/>
  <c r="R9"/>
  <c r="N9"/>
  <c r="P9" s="1"/>
  <c r="L9"/>
  <c r="AD9" s="1"/>
  <c r="AF9" s="1"/>
  <c r="K9"/>
  <c r="R8"/>
  <c r="N8"/>
  <c r="P8" s="1"/>
  <c r="L8"/>
  <c r="AD8" s="1"/>
  <c r="AF8" s="1"/>
  <c r="K8"/>
  <c r="R7"/>
  <c r="N7"/>
  <c r="P7" s="1"/>
  <c r="L7"/>
  <c r="AD7" s="1"/>
  <c r="AF7" s="1"/>
  <c r="K7"/>
  <c r="R6"/>
  <c r="N6"/>
  <c r="P6" s="1"/>
  <c r="L6"/>
  <c r="AD6" s="1"/>
  <c r="T452" i="438" l="1" a="1"/>
  <c r="T452" s="1"/>
  <c r="U452" i="437" a="1"/>
  <c r="U452" s="1"/>
  <c r="O409" a="1"/>
  <c r="O409" s="1"/>
  <c r="G424"/>
  <c r="C423"/>
  <c r="C423" i="435"/>
  <c r="G424"/>
  <c r="J443"/>
  <c r="Q443" s="1"/>
  <c r="U452" a="1"/>
  <c r="U452" s="1"/>
  <c r="U452" i="433" a="1"/>
  <c r="U452" s="1"/>
  <c r="G424"/>
  <c r="C423"/>
  <c r="U452" i="434" a="1"/>
  <c r="U452" s="1"/>
  <c r="C423"/>
  <c r="S424" i="452" a="1"/>
  <c r="S424" s="1"/>
  <c r="C424" i="468"/>
  <c r="K424" s="1"/>
  <c r="G429" i="469"/>
  <c r="O423"/>
  <c r="K423"/>
  <c r="G426" a="1"/>
  <c r="G426" s="1"/>
  <c r="G428"/>
  <c r="G427"/>
  <c r="G430"/>
  <c r="R452"/>
  <c r="S423" s="1"/>
  <c r="S211" i="468" a="1"/>
  <c r="S211" s="1"/>
  <c r="M209" a="1"/>
  <c r="M209" s="1"/>
  <c r="V199"/>
  <c r="M207" a="1"/>
  <c r="M207" s="1"/>
  <c r="M206" a="1"/>
  <c r="M206" s="1"/>
  <c r="M208" a="1"/>
  <c r="M208" s="1"/>
  <c r="V236" a="1"/>
  <c r="V236" s="1"/>
  <c r="R452"/>
  <c r="G429" i="465"/>
  <c r="O423"/>
  <c r="K423"/>
  <c r="G427"/>
  <c r="G428"/>
  <c r="G426" a="1"/>
  <c r="G426" s="1"/>
  <c r="G430"/>
  <c r="R452"/>
  <c r="S423" s="1"/>
  <c r="G429" i="464"/>
  <c r="O423"/>
  <c r="S423"/>
  <c r="K423"/>
  <c r="G427"/>
  <c r="G428"/>
  <c r="G426" a="1"/>
  <c r="G426" s="1"/>
  <c r="G430"/>
  <c r="G429" i="463"/>
  <c r="O423"/>
  <c r="S423"/>
  <c r="K423"/>
  <c r="G428"/>
  <c r="G427"/>
  <c r="G430"/>
  <c r="G426" a="1"/>
  <c r="G426" s="1"/>
  <c r="G429" i="462"/>
  <c r="O423"/>
  <c r="K423"/>
  <c r="G427"/>
  <c r="G428"/>
  <c r="G426" a="1"/>
  <c r="G426" s="1"/>
  <c r="G430"/>
  <c r="R452"/>
  <c r="S423" s="1"/>
  <c r="G429" i="461"/>
  <c r="O423"/>
  <c r="S423"/>
  <c r="K423"/>
  <c r="G427"/>
  <c r="G428"/>
  <c r="G426" a="1"/>
  <c r="G426" s="1"/>
  <c r="G430"/>
  <c r="G429" i="460"/>
  <c r="O423"/>
  <c r="S423"/>
  <c r="K423"/>
  <c r="G428"/>
  <c r="G426" a="1"/>
  <c r="G426" s="1"/>
  <c r="G430"/>
  <c r="G427"/>
  <c r="G429" i="459"/>
  <c r="O423"/>
  <c r="K423"/>
  <c r="G427"/>
  <c r="G428"/>
  <c r="G426" a="1"/>
  <c r="G426" s="1"/>
  <c r="G430"/>
  <c r="R452"/>
  <c r="S423" s="1"/>
  <c r="G429" i="458"/>
  <c r="O423"/>
  <c r="S423"/>
  <c r="K423"/>
  <c r="G428"/>
  <c r="G426" a="1"/>
  <c r="G426" s="1"/>
  <c r="G430"/>
  <c r="G427"/>
  <c r="G429" i="457"/>
  <c r="O423"/>
  <c r="S423"/>
  <c r="K423"/>
  <c r="G428"/>
  <c r="G426" a="1"/>
  <c r="G426" s="1"/>
  <c r="G430"/>
  <c r="G427"/>
  <c r="G429" i="456"/>
  <c r="O423"/>
  <c r="S423"/>
  <c r="K423"/>
  <c r="G428"/>
  <c r="G426" a="1"/>
  <c r="G426" s="1"/>
  <c r="G430"/>
  <c r="G427"/>
  <c r="G429" i="454"/>
  <c r="O423"/>
  <c r="S423"/>
  <c r="K423"/>
  <c r="G428"/>
  <c r="G426" a="1"/>
  <c r="G426" s="1"/>
  <c r="G430"/>
  <c r="G427"/>
  <c r="G429" i="452"/>
  <c r="O423"/>
  <c r="S423"/>
  <c r="K423"/>
  <c r="G428"/>
  <c r="G427"/>
  <c r="G430"/>
  <c r="G426" a="1"/>
  <c r="G426" s="1"/>
  <c r="AD199" i="426"/>
  <c r="AF6"/>
  <c r="AF199" s="1"/>
  <c r="AF215"/>
  <c r="AF408" s="1"/>
  <c r="AD408"/>
  <c r="S451" i="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O200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199" a="1"/>
  <c r="S199" s="1"/>
  <c r="K424"/>
  <c r="V199"/>
  <c r="S450" i="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G423"/>
  <c r="S211" a="1"/>
  <c r="S211" s="1"/>
  <c r="M208" a="1"/>
  <c r="M208" s="1"/>
  <c r="M207" a="1"/>
  <c r="M207" s="1"/>
  <c r="M206" a="1"/>
  <c r="M206" s="1"/>
  <c r="V199"/>
  <c r="M209" a="1"/>
  <c r="M209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5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2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439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3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437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70" i="426"/>
  <c r="V78" a="1"/>
  <c r="V78" s="1"/>
  <c r="V82" a="1"/>
  <c r="V82" s="1"/>
  <c r="V84" a="1"/>
  <c r="V84" s="1"/>
  <c r="V90" a="1"/>
  <c r="V90" s="1"/>
  <c r="V92" a="1"/>
  <c r="V92" s="1"/>
  <c r="V96" a="1"/>
  <c r="V96" s="1"/>
  <c r="V100" a="1"/>
  <c r="V100" s="1"/>
  <c r="V106" a="1"/>
  <c r="V106" s="1"/>
  <c r="V114" a="1"/>
  <c r="V114" s="1"/>
  <c r="V116" a="1"/>
  <c r="V116" s="1"/>
  <c r="S116"/>
  <c r="V118" a="1"/>
  <c r="V118" s="1"/>
  <c r="S118"/>
  <c r="V120" a="1"/>
  <c r="V120" s="1"/>
  <c r="V126" a="1"/>
  <c r="V126" s="1"/>
  <c r="V128" a="1"/>
  <c r="V128" s="1"/>
  <c r="V132" a="1"/>
  <c r="V132" s="1"/>
  <c r="V134" a="1"/>
  <c r="V134" s="1"/>
  <c r="S134"/>
  <c r="V136" a="1"/>
  <c r="V136" s="1"/>
  <c r="S136"/>
  <c r="V138" a="1"/>
  <c r="V138" s="1"/>
  <c r="V140" a="1"/>
  <c r="V140" s="1"/>
  <c r="V142" a="1"/>
  <c r="V142" s="1"/>
  <c r="V146" a="1"/>
  <c r="V146" s="1"/>
  <c r="V148" a="1"/>
  <c r="V148" s="1"/>
  <c r="S148"/>
  <c r="S450" i="435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S451" i="434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0" i="43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3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V168" i="426" a="1"/>
  <c r="V168" s="1"/>
  <c r="S168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S182"/>
  <c r="V184" a="1"/>
  <c r="V184" s="1"/>
  <c r="S184"/>
  <c r="V186" a="1"/>
  <c r="V186" s="1"/>
  <c r="S186"/>
  <c r="V188" a="1"/>
  <c r="V188" s="1"/>
  <c r="V190" a="1"/>
  <c r="V190" s="1"/>
  <c r="V196" a="1"/>
  <c r="V196" s="1"/>
  <c r="E452"/>
  <c r="L452"/>
  <c r="N452"/>
  <c r="P452"/>
  <c r="V198" a="1"/>
  <c r="V198" s="1"/>
  <c r="V237" a="1"/>
  <c r="V237" s="1"/>
  <c r="V239" a="1"/>
  <c r="V239" s="1"/>
  <c r="V243" a="1"/>
  <c r="V243" s="1"/>
  <c r="V253" a="1"/>
  <c r="V253" s="1"/>
  <c r="V261" a="1"/>
  <c r="V261" s="1"/>
  <c r="V265" a="1"/>
  <c r="V265" s="1"/>
  <c r="V267" a="1"/>
  <c r="V267" s="1"/>
  <c r="V273" a="1"/>
  <c r="V273" s="1"/>
  <c r="V281" a="1"/>
  <c r="V281" s="1"/>
  <c r="V285" a="1"/>
  <c r="V285" s="1"/>
  <c r="V289" a="1"/>
  <c r="V289" s="1"/>
  <c r="V291" a="1"/>
  <c r="V291" s="1"/>
  <c r="S293"/>
  <c r="V299" a="1"/>
  <c r="V299" s="1"/>
  <c r="V303" a="1"/>
  <c r="V303" s="1"/>
  <c r="S305"/>
  <c r="V307" a="1"/>
  <c r="V307" s="1"/>
  <c r="S309"/>
  <c r="V311" a="1"/>
  <c r="V311" s="1"/>
  <c r="V321" a="1"/>
  <c r="V321" s="1"/>
  <c r="S323"/>
  <c r="V325" a="1"/>
  <c r="V325" s="1"/>
  <c r="S327"/>
  <c r="V329" a="1"/>
  <c r="V329" s="1"/>
  <c r="S329"/>
  <c r="S331"/>
  <c r="S333"/>
  <c r="V337" a="1"/>
  <c r="V337" s="1"/>
  <c r="V343" a="1"/>
  <c r="V343" s="1"/>
  <c r="V347" a="1"/>
  <c r="V347" s="1"/>
  <c r="V351" a="1"/>
  <c r="V351" s="1"/>
  <c r="V357" a="1"/>
  <c r="V357" s="1"/>
  <c r="S367"/>
  <c r="S369"/>
  <c r="S373"/>
  <c r="S375"/>
  <c r="V379" a="1"/>
  <c r="V379" s="1"/>
  <c r="V383" a="1"/>
  <c r="V383" s="1"/>
  <c r="V385" a="1"/>
  <c r="V385" s="1"/>
  <c r="V389" a="1"/>
  <c r="V389" s="1"/>
  <c r="V391" a="1"/>
  <c r="V391" s="1"/>
  <c r="V393" a="1"/>
  <c r="V393" s="1"/>
  <c r="V395" a="1"/>
  <c r="V395" s="1"/>
  <c r="V397" a="1"/>
  <c r="V397" s="1"/>
  <c r="V399" a="1"/>
  <c r="V399" s="1"/>
  <c r="V407" a="1"/>
  <c r="V407" s="1"/>
  <c r="F452"/>
  <c r="M452"/>
  <c r="O452"/>
  <c r="H452"/>
  <c r="V225" a="1"/>
  <c r="V225" s="1"/>
  <c r="S225"/>
  <c r="V229" a="1"/>
  <c r="V229" s="1"/>
  <c r="V233" a="1"/>
  <c r="V233" s="1"/>
  <c r="S233"/>
  <c r="R199"/>
  <c r="P408"/>
  <c r="V219" a="1"/>
  <c r="V219" s="1"/>
  <c r="G452"/>
  <c r="AA414"/>
  <c r="AA413"/>
  <c r="S217"/>
  <c r="I452"/>
  <c r="K452"/>
  <c r="AA415"/>
  <c r="K434"/>
  <c r="O434" s="1" a="1"/>
  <c r="O434" s="1"/>
  <c r="AA207"/>
  <c r="AA205"/>
  <c r="AA418"/>
  <c r="S169"/>
  <c r="S61"/>
  <c r="V284" a="1"/>
  <c r="V284" s="1"/>
  <c r="V236" a="1"/>
  <c r="V236" s="1"/>
  <c r="V342" a="1"/>
  <c r="V342" s="1"/>
  <c r="V346" a="1"/>
  <c r="V346" s="1"/>
  <c r="V350" a="1"/>
  <c r="V350" s="1"/>
  <c r="V356" a="1"/>
  <c r="V356" s="1"/>
  <c r="S362"/>
  <c r="S364"/>
  <c r="V378" a="1"/>
  <c r="V378" s="1"/>
  <c r="V382" a="1"/>
  <c r="V382" s="1"/>
  <c r="V388" a="1"/>
  <c r="V388" s="1"/>
  <c r="S390"/>
  <c r="S394"/>
  <c r="S396"/>
  <c r="S398"/>
  <c r="S400"/>
  <c r="S402"/>
  <c r="S404"/>
  <c r="V406" a="1"/>
  <c r="V406" s="1"/>
  <c r="S406"/>
  <c r="V316" a="1"/>
  <c r="V316" s="1"/>
  <c r="S318"/>
  <c r="V322" a="1"/>
  <c r="V322" s="1"/>
  <c r="V326" a="1"/>
  <c r="V326" s="1"/>
  <c r="V336" a="1"/>
  <c r="V336" s="1"/>
  <c r="V288" a="1"/>
  <c r="V288" s="1"/>
  <c r="V300" a="1"/>
  <c r="V300" s="1"/>
  <c r="V304" a="1"/>
  <c r="V304" s="1"/>
  <c r="V308" a="1"/>
  <c r="V308" s="1"/>
  <c r="V260" a="1"/>
  <c r="V260" s="1"/>
  <c r="V264" a="1"/>
  <c r="V264" s="1"/>
  <c r="V268" a="1"/>
  <c r="V268" s="1"/>
  <c r="S268"/>
  <c r="V280" a="1"/>
  <c r="V280" s="1"/>
  <c r="S282"/>
  <c r="V240" a="1"/>
  <c r="V240" s="1"/>
  <c r="V244" a="1"/>
  <c r="V244" s="1"/>
  <c r="V252" a="1"/>
  <c r="V252" s="1"/>
  <c r="S252"/>
  <c r="R408"/>
  <c r="V218" a="1"/>
  <c r="V218" s="1"/>
  <c r="V222" a="1"/>
  <c r="V222" s="1"/>
  <c r="S222"/>
  <c r="V228" a="1"/>
  <c r="V228" s="1"/>
  <c r="V232" a="1"/>
  <c r="V232" s="1"/>
  <c r="V27" a="1"/>
  <c r="V27" s="1"/>
  <c r="V28" a="1"/>
  <c r="V28" s="1"/>
  <c r="V63" a="1"/>
  <c r="V63" s="1"/>
  <c r="V101" a="1"/>
  <c r="V101" s="1"/>
  <c r="S197"/>
  <c r="V113" a="1"/>
  <c r="V113" s="1"/>
  <c r="S129"/>
  <c r="S107"/>
  <c r="P199"/>
  <c r="V71" a="1"/>
  <c r="V71" s="1"/>
  <c r="V73" a="1"/>
  <c r="V73" s="1"/>
  <c r="S73"/>
  <c r="V75" a="1"/>
  <c r="V75" s="1"/>
  <c r="S75"/>
  <c r="V79" a="1"/>
  <c r="V79" s="1"/>
  <c r="S85"/>
  <c r="S87"/>
  <c r="V89" a="1"/>
  <c r="V89" s="1"/>
  <c r="V93" a="1"/>
  <c r="V93" s="1"/>
  <c r="V97" a="1"/>
  <c r="V97" s="1"/>
  <c r="S97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8" a="1"/>
  <c r="V58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41" a="1"/>
  <c r="V41" s="1"/>
  <c r="V42" a="1"/>
  <c r="V42" s="1"/>
  <c r="V43" a="1"/>
  <c r="V43" s="1"/>
  <c r="V44" a="1"/>
  <c r="V44" s="1"/>
  <c r="V45" a="1"/>
  <c r="V45" s="1"/>
  <c r="V25" a="1"/>
  <c r="V25" s="1"/>
  <c r="V26" a="1"/>
  <c r="V26" s="1"/>
  <c r="V7" a="1"/>
  <c r="V7" s="1"/>
  <c r="V8" a="1"/>
  <c r="V8" s="1"/>
  <c r="V11" a="1"/>
  <c r="V11" s="1"/>
  <c r="V12" a="1"/>
  <c r="V12" s="1"/>
  <c r="V13" a="1"/>
  <c r="V13" s="1"/>
  <c r="V16" a="1"/>
  <c r="V16" s="1"/>
  <c r="V17" a="1"/>
  <c r="V17" s="1"/>
  <c r="V18" a="1"/>
  <c r="V18" s="1"/>
  <c r="V19" a="1"/>
  <c r="V19" s="1"/>
  <c r="V20" a="1"/>
  <c r="V20" s="1"/>
  <c r="V21" a="1"/>
  <c r="V21" s="1"/>
  <c r="V22" a="1"/>
  <c r="V22" s="1"/>
  <c r="V23" a="1"/>
  <c r="V23" s="1"/>
  <c r="V24" a="1"/>
  <c r="V24" s="1"/>
  <c r="AA416"/>
  <c r="AA417"/>
  <c r="AA412"/>
  <c r="S296"/>
  <c r="S216"/>
  <c r="S218"/>
  <c r="S220"/>
  <c r="S224"/>
  <c r="S226"/>
  <c r="S228"/>
  <c r="S230"/>
  <c r="S232"/>
  <c r="S234"/>
  <c r="S236"/>
  <c r="S238"/>
  <c r="S240"/>
  <c r="S242"/>
  <c r="S244"/>
  <c r="S246"/>
  <c r="S248"/>
  <c r="S250"/>
  <c r="S254"/>
  <c r="S256"/>
  <c r="S258"/>
  <c r="S260"/>
  <c r="S262"/>
  <c r="S264"/>
  <c r="S266"/>
  <c r="S270"/>
  <c r="S272"/>
  <c r="S274"/>
  <c r="S276"/>
  <c r="S278"/>
  <c r="S280"/>
  <c r="S284"/>
  <c r="S286"/>
  <c r="S288"/>
  <c r="S290"/>
  <c r="S292"/>
  <c r="S294"/>
  <c r="S298"/>
  <c r="S300"/>
  <c r="S302"/>
  <c r="S304"/>
  <c r="S306"/>
  <c r="S308"/>
  <c r="S310"/>
  <c r="S312"/>
  <c r="S314"/>
  <c r="S316"/>
  <c r="S320"/>
  <c r="S322"/>
  <c r="S324"/>
  <c r="S326"/>
  <c r="S328"/>
  <c r="S330"/>
  <c r="S332"/>
  <c r="S334"/>
  <c r="S336"/>
  <c r="S338"/>
  <c r="S340"/>
  <c r="S342"/>
  <c r="S344"/>
  <c r="S346"/>
  <c r="S348"/>
  <c r="S350"/>
  <c r="S352"/>
  <c r="S354"/>
  <c r="S356"/>
  <c r="S358"/>
  <c r="S360"/>
  <c r="S366"/>
  <c r="S368"/>
  <c r="S370"/>
  <c r="S372"/>
  <c r="S374"/>
  <c r="S376"/>
  <c r="S378"/>
  <c r="S380"/>
  <c r="S382"/>
  <c r="S384"/>
  <c r="S386"/>
  <c r="S388"/>
  <c r="S392"/>
  <c r="S219"/>
  <c r="S221"/>
  <c r="S223"/>
  <c r="S227"/>
  <c r="S229"/>
  <c r="S231"/>
  <c r="S235"/>
  <c r="S237"/>
  <c r="S239"/>
  <c r="S241"/>
  <c r="S243"/>
  <c r="S245"/>
  <c r="S247"/>
  <c r="S249"/>
  <c r="S251"/>
  <c r="S253"/>
  <c r="S255"/>
  <c r="S257"/>
  <c r="S259"/>
  <c r="S261"/>
  <c r="S263"/>
  <c r="S265"/>
  <c r="S267"/>
  <c r="S269"/>
  <c r="S271"/>
  <c r="S273"/>
  <c r="S275"/>
  <c r="S277"/>
  <c r="S279"/>
  <c r="S281"/>
  <c r="S283"/>
  <c r="S285"/>
  <c r="S287"/>
  <c r="S289"/>
  <c r="S291"/>
  <c r="S295"/>
  <c r="S297"/>
  <c r="S299"/>
  <c r="S301"/>
  <c r="S303"/>
  <c r="S307"/>
  <c r="S311"/>
  <c r="S313"/>
  <c r="S315"/>
  <c r="S317"/>
  <c r="S319"/>
  <c r="S321"/>
  <c r="S325"/>
  <c r="S335"/>
  <c r="S337"/>
  <c r="S339"/>
  <c r="S341"/>
  <c r="S343"/>
  <c r="S345"/>
  <c r="S347"/>
  <c r="S349"/>
  <c r="S351"/>
  <c r="S353"/>
  <c r="S355"/>
  <c r="S357"/>
  <c r="S359"/>
  <c r="S361"/>
  <c r="S363"/>
  <c r="S365"/>
  <c r="S371"/>
  <c r="S377"/>
  <c r="S379"/>
  <c r="S381"/>
  <c r="S383"/>
  <c r="S385"/>
  <c r="S387"/>
  <c r="S389"/>
  <c r="S391"/>
  <c r="S393"/>
  <c r="S395"/>
  <c r="S397"/>
  <c r="S399"/>
  <c r="S401"/>
  <c r="S403"/>
  <c r="S405"/>
  <c r="S407"/>
  <c r="V216" a="1"/>
  <c r="V216" s="1"/>
  <c r="V217" a="1"/>
  <c r="V217" s="1"/>
  <c r="V220" a="1"/>
  <c r="V220" s="1"/>
  <c r="V221" a="1"/>
  <c r="V221" s="1"/>
  <c r="V226" a="1"/>
  <c r="V226" s="1"/>
  <c r="V227" a="1"/>
  <c r="V227" s="1"/>
  <c r="V230" a="1"/>
  <c r="V230" s="1"/>
  <c r="V231" a="1"/>
  <c r="V231" s="1"/>
  <c r="V234" a="1"/>
  <c r="V234" s="1"/>
  <c r="V235" a="1"/>
  <c r="V235" s="1"/>
  <c r="V241" a="1"/>
  <c r="V241" s="1"/>
  <c r="V242" a="1"/>
  <c r="V242" s="1"/>
  <c r="V245" a="1"/>
  <c r="V245" s="1"/>
  <c r="V246" a="1"/>
  <c r="V246" s="1"/>
  <c r="V250" a="1"/>
  <c r="V250" s="1"/>
  <c r="V251" a="1"/>
  <c r="V251" s="1"/>
  <c r="V254" a="1"/>
  <c r="V254" s="1"/>
  <c r="V259" a="1"/>
  <c r="V259" s="1"/>
  <c r="V262" a="1"/>
  <c r="V262" s="1"/>
  <c r="V263" a="1"/>
  <c r="V263" s="1"/>
  <c r="V271" a="1"/>
  <c r="V271" s="1"/>
  <c r="V272" a="1"/>
  <c r="V272" s="1"/>
  <c r="V279" a="1"/>
  <c r="V279" s="1"/>
  <c r="V282" a="1"/>
  <c r="V282" s="1"/>
  <c r="V283" a="1"/>
  <c r="V283" s="1"/>
  <c r="V286" a="1"/>
  <c r="V286" s="1"/>
  <c r="V287" a="1"/>
  <c r="V287" s="1"/>
  <c r="V293" a="1"/>
  <c r="V293" s="1"/>
  <c r="V297" a="1"/>
  <c r="V297" s="1"/>
  <c r="V298" a="1"/>
  <c r="V298" s="1"/>
  <c r="V301" a="1"/>
  <c r="V301" s="1"/>
  <c r="V302" a="1"/>
  <c r="V302" s="1"/>
  <c r="V305" a="1"/>
  <c r="V305" s="1"/>
  <c r="V306" a="1"/>
  <c r="V306" s="1"/>
  <c r="V309" a="1"/>
  <c r="V309" s="1"/>
  <c r="V310" a="1"/>
  <c r="V310" s="1"/>
  <c r="V315" a="1"/>
  <c r="V315" s="1"/>
  <c r="V320" a="1"/>
  <c r="V320" s="1"/>
  <c r="V323" a="1"/>
  <c r="V323" s="1"/>
  <c r="V324" a="1"/>
  <c r="V324" s="1"/>
  <c r="V327" a="1"/>
  <c r="V327" s="1"/>
  <c r="V328" a="1"/>
  <c r="V328" s="1"/>
  <c r="V335" a="1"/>
  <c r="V335" s="1"/>
  <c r="V338" a="1"/>
  <c r="V338" s="1"/>
  <c r="V341" a="1"/>
  <c r="V341" s="1"/>
  <c r="V344" a="1"/>
  <c r="V344" s="1"/>
  <c r="V345" a="1"/>
  <c r="V345" s="1"/>
  <c r="V348" a="1"/>
  <c r="V348" s="1"/>
  <c r="V349" a="1"/>
  <c r="V349" s="1"/>
  <c r="V352" a="1"/>
  <c r="V352" s="1"/>
  <c r="V355" a="1"/>
  <c r="V355" s="1"/>
  <c r="V358" a="1"/>
  <c r="V358" s="1"/>
  <c r="V377" a="1"/>
  <c r="V377" s="1"/>
  <c r="V380" a="1"/>
  <c r="V380" s="1"/>
  <c r="V381" a="1"/>
  <c r="V381" s="1"/>
  <c r="V384" a="1"/>
  <c r="V384" s="1"/>
  <c r="V386" a="1"/>
  <c r="V386" s="1"/>
  <c r="V387" a="1"/>
  <c r="V387" s="1"/>
  <c r="V390" a="1"/>
  <c r="V390" s="1"/>
  <c r="V392" a="1"/>
  <c r="V392" s="1"/>
  <c r="V394" a="1"/>
  <c r="V394" s="1"/>
  <c r="V396" a="1"/>
  <c r="V396" s="1"/>
  <c r="V398" a="1"/>
  <c r="V398" s="1"/>
  <c r="V404" a="1"/>
  <c r="V404" s="1"/>
  <c r="V405" a="1"/>
  <c r="V405" s="1"/>
  <c r="AA204"/>
  <c r="AA206"/>
  <c r="AA208"/>
  <c r="AA209"/>
  <c r="AA203"/>
  <c r="K433"/>
  <c r="O433" s="1" a="1"/>
  <c r="O433" s="1"/>
  <c r="K432"/>
  <c r="O432" s="1" a="1"/>
  <c r="O432" s="1"/>
  <c r="W200"/>
  <c r="S63"/>
  <c r="S65"/>
  <c r="S67"/>
  <c r="S69"/>
  <c r="S71"/>
  <c r="S77"/>
  <c r="S79"/>
  <c r="S81"/>
  <c r="S83"/>
  <c r="S89"/>
  <c r="S91"/>
  <c r="S93"/>
  <c r="S95"/>
  <c r="S99"/>
  <c r="S101"/>
  <c r="S103"/>
  <c r="S105"/>
  <c r="S109"/>
  <c r="S111"/>
  <c r="S113"/>
  <c r="S115"/>
  <c r="S117"/>
  <c r="S119"/>
  <c r="S121"/>
  <c r="S123"/>
  <c r="S125"/>
  <c r="S127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71"/>
  <c r="S173"/>
  <c r="S175"/>
  <c r="S177"/>
  <c r="S179"/>
  <c r="S181"/>
  <c r="S183"/>
  <c r="S185"/>
  <c r="S187"/>
  <c r="S189"/>
  <c r="S191"/>
  <c r="S193"/>
  <c r="S195"/>
  <c r="S62"/>
  <c r="S64"/>
  <c r="S66"/>
  <c r="S68"/>
  <c r="S72"/>
  <c r="S74"/>
  <c r="S76"/>
  <c r="S78"/>
  <c r="S80"/>
  <c r="S82"/>
  <c r="S84"/>
  <c r="S86"/>
  <c r="S88"/>
  <c r="S90"/>
  <c r="S92"/>
  <c r="S94"/>
  <c r="S96"/>
  <c r="S98"/>
  <c r="S100"/>
  <c r="S102"/>
  <c r="S104"/>
  <c r="S106"/>
  <c r="S108"/>
  <c r="S110"/>
  <c r="S112"/>
  <c r="S114"/>
  <c r="S120"/>
  <c r="S122"/>
  <c r="S124"/>
  <c r="S126"/>
  <c r="S128"/>
  <c r="S130"/>
  <c r="S132"/>
  <c r="S138"/>
  <c r="S140"/>
  <c r="S142"/>
  <c r="S144"/>
  <c r="S146"/>
  <c r="S150"/>
  <c r="S152"/>
  <c r="S154"/>
  <c r="S156"/>
  <c r="S158"/>
  <c r="S160"/>
  <c r="S162"/>
  <c r="S164"/>
  <c r="S166"/>
  <c r="S170"/>
  <c r="S172"/>
  <c r="S174"/>
  <c r="S176"/>
  <c r="S178"/>
  <c r="S180"/>
  <c r="S188"/>
  <c r="S190"/>
  <c r="S192"/>
  <c r="S194"/>
  <c r="S196"/>
  <c r="S198"/>
  <c r="S56"/>
  <c r="S58"/>
  <c r="V59" a="1"/>
  <c r="V59" s="1"/>
  <c r="S59"/>
  <c r="S60"/>
  <c r="V62" a="1"/>
  <c r="V62" s="1"/>
  <c r="V64" a="1"/>
  <c r="V64" s="1"/>
  <c r="V70" a="1"/>
  <c r="V70" s="1"/>
  <c r="V72" a="1"/>
  <c r="V72" s="1"/>
  <c r="V74" a="1"/>
  <c r="V74" s="1"/>
  <c r="V76" a="1"/>
  <c r="V76" s="1"/>
  <c r="V77" a="1"/>
  <c r="V77" s="1"/>
  <c r="V80" a="1"/>
  <c r="V80" s="1"/>
  <c r="V88" a="1"/>
  <c r="V88" s="1"/>
  <c r="V91" a="1"/>
  <c r="V91" s="1"/>
  <c r="V94" a="1"/>
  <c r="V94" s="1"/>
  <c r="V95" a="1"/>
  <c r="V95" s="1"/>
  <c r="V98" a="1"/>
  <c r="V98" s="1"/>
  <c r="V99" a="1"/>
  <c r="V99" s="1"/>
  <c r="V102" a="1"/>
  <c r="V102" s="1"/>
  <c r="V107" a="1"/>
  <c r="V107" s="1"/>
  <c r="V111" a="1"/>
  <c r="V111" s="1"/>
  <c r="V112" a="1"/>
  <c r="V112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K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7"/>
  <c r="S6"/>
  <c r="V6" a="1"/>
  <c r="V6" s="1"/>
  <c r="V215" a="1"/>
  <c r="V215" s="1"/>
  <c r="S215"/>
  <c r="W409"/>
  <c r="I426" a="1"/>
  <c r="I426" s="1"/>
  <c r="S424" i="437" l="1" a="1"/>
  <c r="S424" s="1"/>
  <c r="K424" i="435"/>
  <c r="C424" i="426"/>
  <c r="O409" a="1"/>
  <c r="O409" s="1"/>
  <c r="M417" i="468" a="1"/>
  <c r="M417" s="1"/>
  <c r="M416" a="1"/>
  <c r="M416" s="1"/>
  <c r="M415" a="1"/>
  <c r="M415" s="1"/>
  <c r="S420" a="1"/>
  <c r="S420" s="1"/>
  <c r="M418" a="1"/>
  <c r="M418" s="1"/>
  <c r="G423"/>
  <c r="G429" i="451"/>
  <c r="O423"/>
  <c r="K423"/>
  <c r="G427"/>
  <c r="G428"/>
  <c r="G426" a="1"/>
  <c r="G426" s="1"/>
  <c r="G430"/>
  <c r="R452"/>
  <c r="S423" s="1"/>
  <c r="G429" i="450"/>
  <c r="O423"/>
  <c r="S423"/>
  <c r="K423"/>
  <c r="G428"/>
  <c r="G426" a="1"/>
  <c r="G426" s="1"/>
  <c r="G430"/>
  <c r="G427"/>
  <c r="G429" i="445"/>
  <c r="O423"/>
  <c r="S423"/>
  <c r="K423"/>
  <c r="G428"/>
  <c r="G426" a="1"/>
  <c r="G426" s="1"/>
  <c r="G430"/>
  <c r="G427"/>
  <c r="G429" i="444"/>
  <c r="O423"/>
  <c r="S423"/>
  <c r="K423"/>
  <c r="G428"/>
  <c r="G426" a="1"/>
  <c r="G426" s="1"/>
  <c r="G430"/>
  <c r="G427"/>
  <c r="G429" i="443"/>
  <c r="O423"/>
  <c r="S423"/>
  <c r="K423"/>
  <c r="G428"/>
  <c r="G426" a="1"/>
  <c r="G426" s="1"/>
  <c r="G430"/>
  <c r="G427"/>
  <c r="G429" i="442"/>
  <c r="O423"/>
  <c r="S423"/>
  <c r="K423"/>
  <c r="G428"/>
  <c r="G426" a="1"/>
  <c r="G426" s="1"/>
  <c r="G430"/>
  <c r="G427"/>
  <c r="G429" i="441"/>
  <c r="O423"/>
  <c r="S423"/>
  <c r="K423"/>
  <c r="G428"/>
  <c r="G426" a="1"/>
  <c r="G426" s="1"/>
  <c r="G430"/>
  <c r="G427"/>
  <c r="G429" i="438"/>
  <c r="O423"/>
  <c r="K423"/>
  <c r="G428"/>
  <c r="G426" a="1"/>
  <c r="G426" s="1"/>
  <c r="G430"/>
  <c r="G427"/>
  <c r="R452"/>
  <c r="S423" s="1"/>
  <c r="G429" i="437"/>
  <c r="O423"/>
  <c r="S423"/>
  <c r="K423"/>
  <c r="G428"/>
  <c r="G426" a="1"/>
  <c r="G426" s="1"/>
  <c r="G430"/>
  <c r="G427"/>
  <c r="G429" i="435"/>
  <c r="O423"/>
  <c r="S423"/>
  <c r="K423"/>
  <c r="G428"/>
  <c r="G426" a="1"/>
  <c r="G426" s="1"/>
  <c r="G430"/>
  <c r="G427"/>
  <c r="G429" i="434"/>
  <c r="O423"/>
  <c r="K423"/>
  <c r="G427"/>
  <c r="G428"/>
  <c r="G426" a="1"/>
  <c r="G426" s="1"/>
  <c r="G430"/>
  <c r="R452"/>
  <c r="S423" s="1"/>
  <c r="G429" i="433"/>
  <c r="O423"/>
  <c r="S423"/>
  <c r="K423"/>
  <c r="G428"/>
  <c r="G426" a="1"/>
  <c r="G426" s="1"/>
  <c r="G430"/>
  <c r="G427"/>
  <c r="G429" i="431"/>
  <c r="O423"/>
  <c r="S423"/>
  <c r="K423"/>
  <c r="G428"/>
  <c r="G426" a="1"/>
  <c r="G426" s="1"/>
  <c r="G430"/>
  <c r="G427"/>
  <c r="O200" i="426"/>
  <c r="G424"/>
  <c r="O424"/>
  <c r="S199" a="1"/>
  <c r="S199" s="1"/>
  <c r="S408" a="1"/>
  <c r="S408" s="1"/>
  <c r="G429" i="468" l="1"/>
  <c r="O423"/>
  <c r="S423"/>
  <c r="K423"/>
  <c r="G426" a="1"/>
  <c r="G426" s="1"/>
  <c r="G428"/>
  <c r="G427"/>
  <c r="G430"/>
  <c r="S424" i="426" a="1"/>
  <c r="S424" s="1"/>
  <c r="K424"/>
  <c r="W419"/>
  <c r="Y210"/>
  <c r="W210"/>
  <c r="Y419" l="1"/>
  <c r="AA419" s="1"/>
  <c r="AA210"/>
  <c r="L199" l="1"/>
  <c r="M206" s="1" a="1"/>
  <c r="M206" s="1"/>
  <c r="K199"/>
  <c r="L408"/>
  <c r="M415" s="1" a="1"/>
  <c r="M415" s="1"/>
  <c r="K408"/>
  <c r="C423" l="1"/>
  <c r="M209" a="1"/>
  <c r="M209" s="1"/>
  <c r="S211" a="1"/>
  <c r="S211" s="1"/>
  <c r="V199"/>
  <c r="M207" a="1"/>
  <c r="M207" s="1"/>
  <c r="G423"/>
  <c r="O423" s="1"/>
  <c r="M418" a="1"/>
  <c r="M418" s="1"/>
  <c r="S420" a="1"/>
  <c r="S420" s="1"/>
  <c r="M416" a="1"/>
  <c r="M416" s="1"/>
  <c r="V408" a="1"/>
  <c r="V408" s="1"/>
  <c r="G426" l="1" a="1"/>
  <c r="G426" s="1"/>
  <c r="G429"/>
  <c r="G427"/>
  <c r="K423"/>
  <c r="G430"/>
  <c r="G208" l="1"/>
  <c r="D438" l="1"/>
  <c r="C438" s="1"/>
  <c r="D439"/>
  <c r="C439" s="1"/>
  <c r="D448"/>
  <c r="C448" s="1"/>
  <c r="T448" s="1" a="1"/>
  <c r="T448" s="1"/>
  <c r="D440"/>
  <c r="C440" s="1"/>
  <c r="D442"/>
  <c r="C442" s="1"/>
  <c r="J442" s="1"/>
  <c r="Q442" s="1"/>
  <c r="D446"/>
  <c r="C446" s="1"/>
  <c r="D441"/>
  <c r="C441" s="1"/>
  <c r="T441" s="1" a="1"/>
  <c r="T441" s="1"/>
  <c r="D449"/>
  <c r="C449" s="1"/>
  <c r="D445"/>
  <c r="C445" s="1"/>
  <c r="U445" s="1" a="1"/>
  <c r="U445" s="1"/>
  <c r="D447"/>
  <c r="C447" s="1"/>
  <c r="D444"/>
  <c r="D450" s="1"/>
  <c r="D451"/>
  <c r="C451" s="1"/>
  <c r="D437"/>
  <c r="D443" s="1"/>
  <c r="C443" s="1"/>
  <c r="C437" l="1"/>
  <c r="U437" s="1" a="1"/>
  <c r="U437" s="1"/>
  <c r="T440" a="1"/>
  <c r="T440" s="1"/>
  <c r="J440"/>
  <c r="Q440" s="1"/>
  <c r="T439" a="1"/>
  <c r="T439" s="1"/>
  <c r="J439"/>
  <c r="Q439" s="1"/>
  <c r="U451" a="1"/>
  <c r="U451" s="1"/>
  <c r="J451"/>
  <c r="Q451" s="1"/>
  <c r="T451" a="1"/>
  <c r="T451" s="1"/>
  <c r="C450"/>
  <c r="D452"/>
  <c r="C452" s="1"/>
  <c r="J443"/>
  <c r="Q443" s="1"/>
  <c r="U443" a="1"/>
  <c r="U443" s="1"/>
  <c r="T443" a="1"/>
  <c r="T443" s="1"/>
  <c r="T447" a="1"/>
  <c r="T447" s="1"/>
  <c r="J447"/>
  <c r="Q447" s="1"/>
  <c r="J449"/>
  <c r="Q449" s="1"/>
  <c r="T449" a="1"/>
  <c r="T449" s="1"/>
  <c r="J446"/>
  <c r="Q446" s="1"/>
  <c r="T446" a="1"/>
  <c r="T446" s="1"/>
  <c r="R442"/>
  <c r="S442" a="1"/>
  <c r="S442" s="1"/>
  <c r="U438" a="1"/>
  <c r="U438" s="1"/>
  <c r="J438"/>
  <c r="Q438" s="1"/>
  <c r="T438" a="1"/>
  <c r="T438" s="1"/>
  <c r="T437" a="1"/>
  <c r="T437" s="1"/>
  <c r="T445" a="1"/>
  <c r="T445" s="1"/>
  <c r="T442" a="1"/>
  <c r="T442" s="1"/>
  <c r="C444"/>
  <c r="J445"/>
  <c r="Q445" s="1"/>
  <c r="J441"/>
  <c r="Q441" s="1"/>
  <c r="J437"/>
  <c r="Q437" s="1"/>
  <c r="J448"/>
  <c r="Q448" s="1"/>
  <c r="R448" l="1"/>
  <c r="S448" a="1"/>
  <c r="S448" s="1"/>
  <c r="S437" a="1"/>
  <c r="S437" s="1"/>
  <c r="R437"/>
  <c r="R441"/>
  <c r="S441" a="1"/>
  <c r="S441" s="1"/>
  <c r="S445" a="1"/>
  <c r="S445" s="1"/>
  <c r="R445"/>
  <c r="R446"/>
  <c r="S446" a="1"/>
  <c r="S446" s="1"/>
  <c r="R449"/>
  <c r="S449" a="1"/>
  <c r="S449" s="1"/>
  <c r="T452" a="1"/>
  <c r="T452" s="1"/>
  <c r="J452"/>
  <c r="Q452" s="1"/>
  <c r="S452" s="1" a="1"/>
  <c r="S452" s="1"/>
  <c r="U452" a="1"/>
  <c r="U452" s="1"/>
  <c r="T444" a="1"/>
  <c r="T444" s="1"/>
  <c r="J444"/>
  <c r="Q444" s="1"/>
  <c r="U444" a="1"/>
  <c r="U444" s="1"/>
  <c r="R438"/>
  <c r="S438" a="1"/>
  <c r="S438" s="1"/>
  <c r="R447"/>
  <c r="S447" a="1"/>
  <c r="S447" s="1"/>
  <c r="R443"/>
  <c r="S443" a="1"/>
  <c r="S443" s="1"/>
  <c r="U450" a="1"/>
  <c r="U450" s="1"/>
  <c r="T450" a="1"/>
  <c r="T450" s="1"/>
  <c r="J450"/>
  <c r="Q450" s="1"/>
  <c r="R451"/>
  <c r="S451" a="1"/>
  <c r="S451" s="1"/>
  <c r="R439"/>
  <c r="S439" a="1"/>
  <c r="S439" s="1"/>
  <c r="R440"/>
  <c r="S440" a="1"/>
  <c r="S440" s="1"/>
  <c r="R450" l="1"/>
  <c r="R452" s="1"/>
  <c r="S423" s="1"/>
  <c r="S450" a="1"/>
  <c r="S450" s="1"/>
  <c r="S444" a="1"/>
  <c r="S444" s="1"/>
  <c r="R444"/>
  <c r="I417"/>
  <c r="K417" s="1"/>
  <c r="G420" l="1"/>
  <c r="M420"/>
  <c r="M417" a="1"/>
  <c r="M417" s="1"/>
  <c r="I208"/>
  <c r="K208" s="1"/>
  <c r="G211" l="1"/>
  <c r="C428"/>
  <c r="M208" a="1"/>
  <c r="M208" s="1"/>
  <c r="M211"/>
  <c r="K429" l="1"/>
  <c r="K430"/>
  <c r="G428"/>
</calcChain>
</file>

<file path=xl/comments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调山东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调山东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调山东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7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7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K209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流量表坏无数据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K418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流量表坏无数据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7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<sst xmlns="http://schemas.openxmlformats.org/spreadsheetml/2006/main" count="44211" uniqueCount="323">
  <si>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</si>
  <si>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</si>
  <si>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</si>
  <si>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</si>
  <si>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</si>
  <si>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</si>
  <si>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</si>
  <si>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</si>
  <si>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</si>
  <si>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</si>
  <si>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</si>
  <si>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</si>
  <si>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</si>
  <si>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</si>
  <si>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</si>
  <si>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</si>
  <si>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</si>
  <si>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</si>
  <si>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</si>
  <si>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</si>
  <si>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</si>
  <si>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</si>
  <si>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</si>
  <si>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</si>
  <si>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</si>
  <si>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</si>
  <si>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</si>
  <si>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</si>
  <si>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</si>
  <si>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</si>
  <si>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</si>
  <si>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</si>
  <si>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</si>
  <si>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</si>
  <si>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</si>
  <si>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</si>
  <si>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</si>
  <si>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</si>
  <si>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</si>
  <si>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</si>
  <si>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</si>
  <si>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</si>
  <si>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</si>
  <si>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</si>
  <si>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</si>
  <si>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</si>
  <si>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</si>
  <si>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</si>
  <si>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</si>
  <si>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</si>
  <si>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</si>
  <si>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</si>
  <si>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</si>
  <si>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</si>
  <si>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</si>
  <si>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</si>
  <si>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</si>
  <si>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</si>
  <si>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</si>
  <si>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</si>
  <si>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</si>
  <si>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</si>
  <si>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</si>
  <si>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</si>
  <si>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</si>
  <si>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</si>
  <si>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</si>
  <si>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</si>
  <si>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</si>
  <si>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</si>
  <si>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</si>
  <si>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</si>
  <si>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</si>
  <si>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</si>
  <si>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</si>
  <si>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</si>
  <si>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</si>
  <si>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</si>
  <si>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</si>
  <si>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</si>
  <si>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</si>
  <si>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</si>
  <si>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</si>
  <si>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</si>
  <si>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</si>
  <si>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</si>
  <si>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</si>
  <si>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</si>
  <si>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</si>
  <si>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</si>
  <si>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海马香橙</t>
  </si>
  <si>
    <t>50g动物园吸之冻</t>
  </si>
  <si>
    <t>5001/5003</t>
  </si>
  <si>
    <t>50g水果园吸之冻</t>
  </si>
  <si>
    <t>50g水果园吸之冻(草莓)</t>
  </si>
  <si>
    <t>50g果蔬园吸之冻</t>
  </si>
  <si>
    <t>50g果蔬园吸之冻(香橙)</t>
  </si>
  <si>
    <t>50g水果园吸之冻(苹果)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</si>
  <si>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</si>
  <si>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</si>
  <si>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</si>
  <si>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</si>
  <si>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</si>
  <si>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</si>
  <si>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</si>
  <si>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</si>
  <si>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</si>
  <si>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</si>
  <si>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</si>
  <si>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</si>
  <si>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120g水果园吸之冻</t>
  </si>
  <si>
    <t>120g水果园吸之冻(芒果)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</si>
  <si>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</si>
  <si>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</si>
  <si>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</si>
  <si>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</si>
  <si>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</si>
  <si>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</si>
  <si>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</si>
  <si>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</si>
  <si>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</si>
  <si>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</si>
  <si>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</si>
  <si>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</si>
  <si>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</si>
  <si>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</si>
  <si>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</si>
  <si>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</si>
  <si>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</si>
  <si>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</si>
  <si>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</si>
  <si>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</si>
  <si>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</si>
  <si>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</si>
  <si>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</si>
  <si>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</si>
  <si>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</si>
  <si>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</si>
  <si>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</si>
  <si>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</si>
  <si>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</si>
  <si>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</si>
  <si>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</si>
  <si>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</si>
  <si>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</si>
  <si>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</si>
  <si>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</si>
  <si>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</si>
  <si>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</si>
  <si>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</si>
  <si>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</si>
  <si>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</si>
  <si>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</si>
  <si>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</si>
  <si>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</si>
  <si>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</si>
  <si>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</si>
  <si>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</si>
  <si>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</si>
  <si>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</si>
  <si>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</si>
  <si>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</si>
  <si>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</si>
  <si>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</si>
  <si>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</si>
  <si>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</si>
  <si>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</si>
  <si>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</si>
  <si>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</si>
  <si>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</si>
  <si>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</si>
  <si>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</si>
  <si>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</si>
  <si>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</si>
  <si>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</si>
  <si>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</si>
  <si>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</si>
  <si>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</si>
  <si>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</si>
  <si>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</si>
  <si>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</si>
  <si>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</si>
  <si>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</si>
  <si>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</si>
  <si>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</si>
  <si>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</si>
  <si>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</si>
  <si>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</si>
  <si>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</si>
  <si>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</si>
  <si>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</si>
  <si>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</si>
  <si>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</si>
  <si>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</si>
  <si>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</si>
  <si>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</si>
  <si>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</si>
  <si>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</si>
  <si>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</si>
  <si>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</si>
  <si>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</si>
  <si>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</si>
  <si>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</si>
  <si>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</si>
  <si>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</si>
  <si>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</si>
  <si>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</si>
  <si>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</si>
  <si>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</si>
  <si>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</si>
  <si>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</si>
  <si>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</si>
  <si>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</si>
  <si>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</si>
  <si>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</si>
  <si>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</si>
  <si>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</si>
  <si>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</si>
  <si>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</si>
  <si>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</si>
  <si>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</si>
  <si>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</si>
  <si>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</si>
  <si>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</si>
  <si>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</si>
  <si>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</si>
  <si>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</si>
  <si>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</si>
  <si>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</si>
  <si>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</si>
  <si>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</si>
  <si>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</si>
  <si>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</si>
  <si>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</si>
  <si>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</si>
  <si>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</si>
  <si>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</si>
  <si>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</si>
  <si>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</si>
  <si>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</si>
  <si>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</si>
  <si>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</si>
  <si>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</si>
  <si>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</si>
  <si>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</si>
  <si>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</si>
  <si>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</si>
  <si>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</si>
  <si>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</si>
  <si>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</si>
  <si>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</si>
  <si>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</si>
  <si>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</si>
  <si>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</si>
  <si>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</si>
  <si>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</si>
  <si>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</si>
  <si>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</si>
  <si>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</si>
  <si>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</si>
  <si>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</si>
  <si>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</si>
  <si>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</si>
  <si>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</si>
  <si>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</si>
  <si>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</si>
  <si>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</si>
  <si>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</si>
  <si>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</si>
  <si>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</si>
  <si>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</si>
  <si>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</si>
  <si>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</si>
  <si>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</si>
  <si>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</si>
  <si>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</si>
  <si>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</si>
  <si>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</si>
  <si>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</si>
  <si>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</si>
  <si>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</si>
  <si>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</si>
  <si>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</si>
  <si>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</si>
  <si>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</si>
  <si>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</si>
  <si>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</si>
  <si>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</si>
  <si>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</si>
  <si>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</si>
  <si>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</si>
  <si>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</si>
  <si>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</si>
  <si>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</si>
  <si>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</si>
  <si>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</si>
  <si>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</si>
  <si>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</si>
  <si>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</si>
  <si>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</si>
  <si>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</si>
  <si>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</si>
  <si>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</si>
  <si>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</si>
  <si>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</si>
  <si>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</si>
  <si>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</si>
  <si>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</si>
  <si>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</si>
  <si>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</si>
  <si>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</si>
  <si>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</si>
  <si>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</si>
  <si>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</si>
  <si>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</si>
  <si>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</si>
  <si>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单品项产量（吨）</t>
  </si>
  <si>
    <t>直接充填人工总成本(元/吨)</t>
  </si>
  <si>
    <t>单品项总成本</t>
  </si>
  <si>
    <t>——</t>
    <phoneticPr fontId="24" type="noConversion"/>
  </si>
  <si>
    <t>——</t>
    <phoneticPr fontId="24" type="noConversion"/>
  </si>
  <si>
    <t>——</t>
    <phoneticPr fontId="24" type="noConversion"/>
  </si>
  <si>
    <t>——</t>
    <phoneticPr fontId="24" type="noConversion"/>
  </si>
</sst>
</file>

<file path=xl/styles.xml><?xml version="1.0" encoding="utf-8"?>
<styleSheet xmlns="http://schemas.openxmlformats.org/spreadsheetml/2006/main">
  <numFmts count="9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</numFmts>
  <fonts count="29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34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8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179" fontId="6" fillId="0" borderId="2" xfId="0" applyNumberFormat="1" applyFont="1" applyFill="1" applyBorder="1" applyAlignment="1">
      <alignment horizontal="center" vertical="center"/>
    </xf>
    <xf numFmtId="176" fontId="6" fillId="11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179" fontId="6" fillId="3" borderId="2" xfId="0" applyNumberFormat="1" applyFont="1" applyFill="1" applyBorder="1" applyAlignment="1">
      <alignment horizontal="center" vertical="center"/>
    </xf>
    <xf numFmtId="179" fontId="6" fillId="2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7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7" fillId="3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9" fontId="7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6" fillId="5" borderId="2" xfId="0" applyNumberFormat="1" applyFont="1" applyFill="1" applyBorder="1" applyAlignment="1">
      <alignment horizontal="center" vertical="center" wrapText="1"/>
    </xf>
    <xf numFmtId="178" fontId="6" fillId="6" borderId="2" xfId="0" applyNumberFormat="1" applyFont="1" applyFill="1" applyBorder="1" applyAlignment="1">
      <alignment horizontal="center" vertical="center" wrapText="1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7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9" fillId="7" borderId="2" xfId="0" applyNumberFormat="1" applyFont="1" applyFill="1" applyBorder="1" applyAlignment="1">
      <alignment horizontal="center" vertical="center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184" fontId="6" fillId="7" borderId="2" xfId="0" applyNumberFormat="1" applyFont="1" applyFill="1" applyBorder="1" applyAlignment="1">
      <alignment horizontal="center" vertical="top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0" fontId="0" fillId="0" borderId="10" xfId="0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179" fontId="6" fillId="0" borderId="2" xfId="0" applyNumberFormat="1" applyFont="1" applyFill="1" applyBorder="1" applyAlignment="1">
      <alignment vertical="center"/>
    </xf>
    <xf numFmtId="176" fontId="8" fillId="0" borderId="2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C454"/>
  <sheetViews>
    <sheetView topLeftCell="D406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6" topLeftCell="F411" activePane="bottomRight" state="frozen"/>
      <selection pane="topRight" activeCell="F1" sqref="F1"/>
      <selection pane="bottomLeft" activeCell="A27" sqref="A27"/>
      <selection pane="bottomRight" activeCell="K209" sqref="K209:L20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90" t="s">
        <v>25</v>
      </c>
      <c r="S5" s="227"/>
      <c r="T5" s="229"/>
      <c r="U5" s="229"/>
      <c r="V5" s="231"/>
      <c r="W5" s="190" t="s">
        <v>26</v>
      </c>
      <c r="X5" s="18" t="s">
        <v>27</v>
      </c>
      <c r="Y5" s="18" t="s">
        <v>28</v>
      </c>
      <c r="Z5" s="190" t="s">
        <v>29</v>
      </c>
      <c r="AA5" s="18" t="s">
        <v>30</v>
      </c>
      <c r="AB5" s="18" t="s">
        <v>31</v>
      </c>
      <c r="AC5" s="190" t="s">
        <v>32</v>
      </c>
    </row>
    <row r="6" spans="1:29" ht="21.95" hidden="1" customHeight="1">
      <c r="A6" s="195">
        <v>300320</v>
      </c>
      <c r="B6" s="190" t="s">
        <v>33</v>
      </c>
      <c r="C6" s="239" t="s">
        <v>34</v>
      </c>
      <c r="D6" s="239"/>
      <c r="E6" s="194" t="s">
        <v>35</v>
      </c>
      <c r="F6" s="13"/>
      <c r="G6" s="110"/>
      <c r="H6" s="110"/>
      <c r="I6" s="110"/>
      <c r="J6" s="110"/>
      <c r="K6" s="192">
        <f t="shared" ref="K6:K76" si="0">G6*M6</f>
        <v>0</v>
      </c>
      <c r="L6" s="192">
        <f t="shared" ref="L6:L76" si="1">I6*M6</f>
        <v>0</v>
      </c>
      <c r="M6" s="192">
        <v>633.6</v>
      </c>
      <c r="N6" s="192">
        <f>+M6*1000/(28.3*10*40*60)*T6</f>
        <v>4.6643109540636036</v>
      </c>
      <c r="O6" s="192"/>
      <c r="P6" s="192">
        <f t="shared" ref="P6:P76" si="2">N6*I6+O6*U6</f>
        <v>0</v>
      </c>
      <c r="Q6" s="192"/>
      <c r="R6" s="19">
        <f t="shared" ref="R6:R76" si="3">Q6*U6</f>
        <v>0</v>
      </c>
      <c r="S6" s="192">
        <f t="shared" ref="S6:S76" si="4">R6-P6</f>
        <v>0</v>
      </c>
      <c r="T6" s="20">
        <v>5</v>
      </c>
      <c r="U6" s="20"/>
      <c r="V6" s="198" t="str">
        <f t="array" ref="V6">IF(ISERROR(L6/K6),"",L6/K6)</f>
        <v/>
      </c>
      <c r="W6" s="20"/>
      <c r="X6" s="190"/>
      <c r="Y6" s="190"/>
      <c r="Z6" s="196"/>
      <c r="AA6" s="20"/>
      <c r="AB6" s="20"/>
      <c r="AC6" s="20"/>
    </row>
    <row r="7" spans="1:29" ht="21.95" hidden="1" customHeight="1">
      <c r="A7" s="195">
        <v>300318</v>
      </c>
      <c r="B7" s="190" t="s">
        <v>33</v>
      </c>
      <c r="C7" s="239" t="s">
        <v>34</v>
      </c>
      <c r="D7" s="239"/>
      <c r="E7" s="194" t="s">
        <v>36</v>
      </c>
      <c r="F7" s="13"/>
      <c r="G7" s="110"/>
      <c r="H7" s="110"/>
      <c r="I7" s="110"/>
      <c r="J7" s="110"/>
      <c r="K7" s="192">
        <f t="shared" si="0"/>
        <v>0</v>
      </c>
      <c r="L7" s="192">
        <f t="shared" si="1"/>
        <v>0</v>
      </c>
      <c r="M7" s="192">
        <v>633.6</v>
      </c>
      <c r="N7" s="192">
        <f t="shared" ref="N7:N13" si="5">+M7*1000/(28.3*10*40*60)*T7</f>
        <v>4.6643109540636036</v>
      </c>
      <c r="O7" s="192"/>
      <c r="P7" s="192">
        <f t="shared" si="2"/>
        <v>0</v>
      </c>
      <c r="Q7" s="192"/>
      <c r="R7" s="19">
        <f t="shared" si="3"/>
        <v>0</v>
      </c>
      <c r="S7" s="192">
        <f t="shared" si="4"/>
        <v>0</v>
      </c>
      <c r="T7" s="20">
        <v>5</v>
      </c>
      <c r="U7" s="20"/>
      <c r="V7" s="198" t="str">
        <f t="array" ref="V7">IF(ISERROR(L7/K7),"",L7/K7)</f>
        <v/>
      </c>
      <c r="W7" s="20"/>
      <c r="X7" s="190"/>
      <c r="Y7" s="190"/>
      <c r="Z7" s="196"/>
      <c r="AA7" s="20"/>
      <c r="AB7" s="20"/>
      <c r="AC7" s="20"/>
    </row>
    <row r="8" spans="1:29" ht="21.95" hidden="1" customHeight="1">
      <c r="A8" s="195">
        <v>300319</v>
      </c>
      <c r="B8" s="190" t="s">
        <v>33</v>
      </c>
      <c r="C8" s="239" t="s">
        <v>34</v>
      </c>
      <c r="D8" s="239"/>
      <c r="E8" s="194" t="s">
        <v>37</v>
      </c>
      <c r="F8" s="13"/>
      <c r="G8" s="110"/>
      <c r="H8" s="110"/>
      <c r="I8" s="110"/>
      <c r="J8" s="110"/>
      <c r="K8" s="192">
        <f t="shared" si="0"/>
        <v>0</v>
      </c>
      <c r="L8" s="192">
        <f t="shared" si="1"/>
        <v>0</v>
      </c>
      <c r="M8" s="192">
        <v>633.6</v>
      </c>
      <c r="N8" s="192">
        <f t="shared" si="5"/>
        <v>4.6643109540636036</v>
      </c>
      <c r="O8" s="192"/>
      <c r="P8" s="192">
        <f t="shared" si="2"/>
        <v>0</v>
      </c>
      <c r="Q8" s="192"/>
      <c r="R8" s="19">
        <f t="shared" si="3"/>
        <v>0</v>
      </c>
      <c r="S8" s="192">
        <f t="shared" si="4"/>
        <v>0</v>
      </c>
      <c r="T8" s="20">
        <v>5</v>
      </c>
      <c r="U8" s="20"/>
      <c r="V8" s="198" t="str">
        <f t="array" ref="V8">IF(ISERROR(L8/K8),"",L8/K8)</f>
        <v/>
      </c>
      <c r="W8" s="20"/>
      <c r="X8" s="190"/>
      <c r="Y8" s="190"/>
      <c r="Z8" s="196"/>
      <c r="AA8" s="20"/>
      <c r="AB8" s="20"/>
      <c r="AC8" s="20"/>
    </row>
    <row r="9" spans="1:29" ht="21.95" hidden="1" customHeight="1">
      <c r="A9" s="195">
        <v>300316</v>
      </c>
      <c r="B9" s="190" t="s">
        <v>33</v>
      </c>
      <c r="C9" s="239" t="s">
        <v>34</v>
      </c>
      <c r="D9" s="239"/>
      <c r="E9" s="194" t="s">
        <v>38</v>
      </c>
      <c r="F9" s="13"/>
      <c r="G9" s="110"/>
      <c r="H9" s="110"/>
      <c r="I9" s="110"/>
      <c r="J9" s="110"/>
      <c r="K9" s="192">
        <f t="shared" si="0"/>
        <v>0</v>
      </c>
      <c r="L9" s="192">
        <f t="shared" si="1"/>
        <v>0</v>
      </c>
      <c r="M9" s="192">
        <v>616</v>
      </c>
      <c r="N9" s="192">
        <f t="shared" si="5"/>
        <v>4.534746760895171</v>
      </c>
      <c r="O9" s="192"/>
      <c r="P9" s="192">
        <f t="shared" si="2"/>
        <v>0</v>
      </c>
      <c r="Q9" s="192"/>
      <c r="R9" s="19">
        <f t="shared" si="3"/>
        <v>0</v>
      </c>
      <c r="S9" s="192">
        <f t="shared" si="4"/>
        <v>0</v>
      </c>
      <c r="T9" s="20">
        <v>5</v>
      </c>
      <c r="U9" s="20"/>
      <c r="V9" s="198"/>
      <c r="W9" s="20"/>
      <c r="X9" s="190"/>
      <c r="Y9" s="190"/>
      <c r="Z9" s="196"/>
      <c r="AA9" s="20"/>
      <c r="AB9" s="20"/>
      <c r="AC9" s="20"/>
    </row>
    <row r="10" spans="1:29" ht="21.95" hidden="1" customHeight="1">
      <c r="A10" s="195">
        <v>300317</v>
      </c>
      <c r="B10" s="190" t="s">
        <v>33</v>
      </c>
      <c r="C10" s="226" t="s">
        <v>34</v>
      </c>
      <c r="D10" s="226"/>
      <c r="E10" s="194" t="s">
        <v>39</v>
      </c>
      <c r="F10" s="13"/>
      <c r="G10" s="110"/>
      <c r="H10" s="110"/>
      <c r="I10" s="110"/>
      <c r="J10" s="110"/>
      <c r="K10" s="192">
        <f t="shared" si="0"/>
        <v>0</v>
      </c>
      <c r="L10" s="192">
        <f t="shared" si="1"/>
        <v>0</v>
      </c>
      <c r="M10" s="192">
        <v>616</v>
      </c>
      <c r="N10" s="192">
        <f t="shared" si="5"/>
        <v>4.534746760895171</v>
      </c>
      <c r="O10" s="192"/>
      <c r="P10" s="192">
        <f t="shared" si="2"/>
        <v>0</v>
      </c>
      <c r="Q10" s="192"/>
      <c r="R10" s="19">
        <f t="shared" si="3"/>
        <v>0</v>
      </c>
      <c r="S10" s="192">
        <f t="shared" si="4"/>
        <v>0</v>
      </c>
      <c r="T10" s="20">
        <v>5</v>
      </c>
      <c r="U10" s="20"/>
      <c r="V10" s="198"/>
      <c r="W10" s="20"/>
      <c r="X10" s="190"/>
      <c r="Y10" s="190"/>
      <c r="Z10" s="196"/>
      <c r="AA10" s="20"/>
      <c r="AB10" s="20"/>
      <c r="AC10" s="20"/>
    </row>
    <row r="11" spans="1:29" ht="21.95" hidden="1" customHeight="1">
      <c r="A11" s="195">
        <v>300315</v>
      </c>
      <c r="B11" s="190" t="s">
        <v>33</v>
      </c>
      <c r="C11" s="226" t="s">
        <v>34</v>
      </c>
      <c r="D11" s="226"/>
      <c r="E11" s="194" t="s">
        <v>40</v>
      </c>
      <c r="F11" s="13"/>
      <c r="G11" s="110"/>
      <c r="H11" s="110"/>
      <c r="I11" s="110"/>
      <c r="J11" s="110"/>
      <c r="K11" s="192">
        <f t="shared" si="0"/>
        <v>0</v>
      </c>
      <c r="L11" s="192">
        <f t="shared" si="1"/>
        <v>0</v>
      </c>
      <c r="M11" s="192">
        <v>616</v>
      </c>
      <c r="N11" s="192">
        <f t="shared" si="5"/>
        <v>4.534746760895171</v>
      </c>
      <c r="O11" s="192"/>
      <c r="P11" s="192">
        <f t="shared" si="2"/>
        <v>0</v>
      </c>
      <c r="Q11" s="192"/>
      <c r="R11" s="19">
        <f t="shared" si="3"/>
        <v>0</v>
      </c>
      <c r="S11" s="192">
        <f t="shared" si="4"/>
        <v>0</v>
      </c>
      <c r="T11" s="20">
        <v>5</v>
      </c>
      <c r="U11" s="20"/>
      <c r="V11" s="198" t="str">
        <f t="array" ref="V11">IF(ISERROR(L11/K11),"",L11/K11)</f>
        <v/>
      </c>
      <c r="W11" s="20"/>
      <c r="X11" s="190"/>
      <c r="Y11" s="190"/>
      <c r="Z11" s="196"/>
      <c r="AA11" s="20"/>
      <c r="AB11" s="20"/>
      <c r="AC11" s="20"/>
    </row>
    <row r="12" spans="1:29" ht="21.95" hidden="1" customHeight="1">
      <c r="A12" s="195">
        <v>300314</v>
      </c>
      <c r="B12" s="190" t="s">
        <v>33</v>
      </c>
      <c r="C12" s="226" t="s">
        <v>34</v>
      </c>
      <c r="D12" s="226"/>
      <c r="E12" s="194" t="s">
        <v>41</v>
      </c>
      <c r="F12" s="13"/>
      <c r="G12" s="110"/>
      <c r="H12" s="110"/>
      <c r="I12" s="110"/>
      <c r="J12" s="110"/>
      <c r="K12" s="192">
        <f t="shared" si="0"/>
        <v>0</v>
      </c>
      <c r="L12" s="192">
        <f t="shared" si="1"/>
        <v>0</v>
      </c>
      <c r="M12" s="192">
        <v>616</v>
      </c>
      <c r="N12" s="192">
        <f t="shared" si="5"/>
        <v>4.534746760895171</v>
      </c>
      <c r="O12" s="192"/>
      <c r="P12" s="192">
        <f t="shared" si="2"/>
        <v>0</v>
      </c>
      <c r="Q12" s="192"/>
      <c r="R12" s="19">
        <f t="shared" si="3"/>
        <v>0</v>
      </c>
      <c r="S12" s="192">
        <f t="shared" si="4"/>
        <v>0</v>
      </c>
      <c r="T12" s="20">
        <v>5</v>
      </c>
      <c r="U12" s="20"/>
      <c r="V12" s="198" t="str">
        <f t="array" ref="V12">IF(ISERROR(L12/K12),"",L12/K12)</f>
        <v/>
      </c>
      <c r="W12" s="20"/>
      <c r="X12" s="190"/>
      <c r="Y12" s="190"/>
      <c r="Z12" s="196"/>
      <c r="AA12" s="20"/>
      <c r="AB12" s="20"/>
      <c r="AC12" s="20"/>
    </row>
    <row r="13" spans="1:29" ht="21.95" hidden="1" customHeight="1">
      <c r="A13" s="195">
        <v>300313</v>
      </c>
      <c r="B13" s="190" t="s">
        <v>33</v>
      </c>
      <c r="C13" s="226" t="s">
        <v>34</v>
      </c>
      <c r="D13" s="226"/>
      <c r="E13" s="194" t="s">
        <v>42</v>
      </c>
      <c r="F13" s="13"/>
      <c r="G13" s="110"/>
      <c r="H13" s="110"/>
      <c r="I13" s="110"/>
      <c r="J13" s="110"/>
      <c r="K13" s="192">
        <f t="shared" si="0"/>
        <v>0</v>
      </c>
      <c r="L13" s="192">
        <f t="shared" si="1"/>
        <v>0</v>
      </c>
      <c r="M13" s="192">
        <v>616</v>
      </c>
      <c r="N13" s="192">
        <f t="shared" si="5"/>
        <v>4.534746760895171</v>
      </c>
      <c r="O13" s="192"/>
      <c r="P13" s="192">
        <f t="shared" si="2"/>
        <v>0</v>
      </c>
      <c r="Q13" s="192"/>
      <c r="R13" s="19">
        <f t="shared" si="3"/>
        <v>0</v>
      </c>
      <c r="S13" s="192">
        <f t="shared" si="4"/>
        <v>0</v>
      </c>
      <c r="T13" s="20">
        <v>5</v>
      </c>
      <c r="U13" s="20"/>
      <c r="V13" s="198" t="str">
        <f t="array" ref="V13">IF(ISERROR(L13/K13),"",L13/K13)</f>
        <v/>
      </c>
      <c r="W13" s="20"/>
      <c r="X13" s="190"/>
      <c r="Y13" s="190"/>
      <c r="Z13" s="196"/>
      <c r="AA13" s="20"/>
      <c r="AB13" s="20"/>
      <c r="AC13" s="20"/>
    </row>
    <row r="14" spans="1:29" ht="21.95" hidden="1" customHeight="1">
      <c r="A14" s="195"/>
      <c r="B14" s="190" t="s">
        <v>43</v>
      </c>
      <c r="C14" s="237" t="s">
        <v>313</v>
      </c>
      <c r="D14" s="238"/>
      <c r="E14" s="194" t="s">
        <v>314</v>
      </c>
      <c r="F14" s="13"/>
      <c r="G14" s="110"/>
      <c r="H14" s="110"/>
      <c r="I14" s="110"/>
      <c r="J14" s="110"/>
      <c r="K14" s="192">
        <f t="shared" si="0"/>
        <v>0</v>
      </c>
      <c r="L14" s="192">
        <f t="shared" si="1"/>
        <v>0</v>
      </c>
      <c r="M14" s="192">
        <v>213.4</v>
      </c>
      <c r="N14" s="192">
        <f>+M14*1000/(15.4*10*17*60)*T14</f>
        <v>4.0756302521008401</v>
      </c>
      <c r="O14" s="192"/>
      <c r="P14" s="192">
        <f t="shared" si="2"/>
        <v>0</v>
      </c>
      <c r="Q14" s="192"/>
      <c r="R14" s="19">
        <f t="shared" si="3"/>
        <v>0</v>
      </c>
      <c r="S14" s="192">
        <f t="shared" si="4"/>
        <v>0</v>
      </c>
      <c r="T14" s="20">
        <v>3</v>
      </c>
      <c r="U14" s="20"/>
      <c r="V14" s="198"/>
      <c r="W14" s="20"/>
      <c r="X14" s="190"/>
      <c r="Y14" s="190"/>
      <c r="Z14" s="196"/>
      <c r="AA14" s="20"/>
      <c r="AB14" s="20"/>
      <c r="AC14" s="20"/>
    </row>
    <row r="15" spans="1:29" ht="21.95" hidden="1" customHeight="1">
      <c r="A15" s="195"/>
      <c r="B15" s="190" t="s">
        <v>43</v>
      </c>
      <c r="C15" s="237" t="s">
        <v>313</v>
      </c>
      <c r="D15" s="238"/>
      <c r="E15" s="194" t="s">
        <v>315</v>
      </c>
      <c r="F15" s="13"/>
      <c r="G15" s="110"/>
      <c r="H15" s="110"/>
      <c r="I15" s="110"/>
      <c r="J15" s="110"/>
      <c r="K15" s="192">
        <f t="shared" si="0"/>
        <v>0</v>
      </c>
      <c r="L15" s="192">
        <f t="shared" si="1"/>
        <v>0</v>
      </c>
      <c r="M15" s="192">
        <v>213.4</v>
      </c>
      <c r="N15" s="192">
        <f>+M15*1000/(15.4*10*17*60)*T15</f>
        <v>4.0756302521008401</v>
      </c>
      <c r="O15" s="192"/>
      <c r="P15" s="192">
        <f t="shared" si="2"/>
        <v>0</v>
      </c>
      <c r="Q15" s="192"/>
      <c r="R15" s="19">
        <f t="shared" si="3"/>
        <v>0</v>
      </c>
      <c r="S15" s="192">
        <f t="shared" si="4"/>
        <v>0</v>
      </c>
      <c r="T15" s="20">
        <v>3</v>
      </c>
      <c r="U15" s="20"/>
      <c r="V15" s="198"/>
      <c r="W15" s="20"/>
      <c r="X15" s="190"/>
      <c r="Y15" s="190"/>
      <c r="Z15" s="196"/>
      <c r="AA15" s="20"/>
      <c r="AB15" s="20"/>
      <c r="AC15" s="20"/>
    </row>
    <row r="16" spans="1:29" ht="21" hidden="1" customHeight="1">
      <c r="A16" s="190">
        <v>300202</v>
      </c>
      <c r="B16" s="190" t="s">
        <v>43</v>
      </c>
      <c r="C16" s="237" t="s">
        <v>44</v>
      </c>
      <c r="D16" s="238"/>
      <c r="E16" s="190" t="s">
        <v>35</v>
      </c>
      <c r="F16" s="13"/>
      <c r="G16" s="110"/>
      <c r="H16" s="110"/>
      <c r="I16" s="110"/>
      <c r="J16" s="110"/>
      <c r="K16" s="192">
        <f t="shared" si="0"/>
        <v>0</v>
      </c>
      <c r="L16" s="192">
        <f t="shared" si="1"/>
        <v>0</v>
      </c>
      <c r="M16" s="192">
        <v>212.4</v>
      </c>
      <c r="N16" s="192">
        <f>+M16*1000/(15.4*10*17*60)*T16</f>
        <v>4.0565317035905268</v>
      </c>
      <c r="O16" s="192"/>
      <c r="P16" s="192">
        <f t="shared" si="2"/>
        <v>0</v>
      </c>
      <c r="Q16" s="192"/>
      <c r="R16" s="19">
        <f t="shared" si="3"/>
        <v>0</v>
      </c>
      <c r="S16" s="192">
        <f t="shared" si="4"/>
        <v>0</v>
      </c>
      <c r="T16" s="20">
        <v>3</v>
      </c>
      <c r="U16" s="20"/>
      <c r="V16" s="19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90">
        <v>300203</v>
      </c>
      <c r="B17" s="190" t="s">
        <v>43</v>
      </c>
      <c r="C17" s="237" t="s">
        <v>44</v>
      </c>
      <c r="D17" s="238"/>
      <c r="E17" s="190" t="s">
        <v>41</v>
      </c>
      <c r="F17" s="13"/>
      <c r="G17" s="110"/>
      <c r="H17" s="110"/>
      <c r="I17" s="110"/>
      <c r="J17" s="110"/>
      <c r="K17" s="192">
        <f t="shared" si="0"/>
        <v>0</v>
      </c>
      <c r="L17" s="192">
        <f t="shared" si="1"/>
        <v>0</v>
      </c>
      <c r="M17" s="192">
        <v>212.4</v>
      </c>
      <c r="N17" s="192">
        <f>+M17*1000/(15.4*10*17*60)*T17</f>
        <v>4.0565317035905268</v>
      </c>
      <c r="O17" s="192"/>
      <c r="P17" s="192">
        <f t="shared" si="2"/>
        <v>0</v>
      </c>
      <c r="Q17" s="192"/>
      <c r="R17" s="19">
        <f t="shared" si="3"/>
        <v>0</v>
      </c>
      <c r="S17" s="192">
        <f t="shared" si="4"/>
        <v>0</v>
      </c>
      <c r="T17" s="20">
        <v>3</v>
      </c>
      <c r="U17" s="20"/>
      <c r="V17" s="19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90">
        <v>300204</v>
      </c>
      <c r="B18" s="190" t="s">
        <v>43</v>
      </c>
      <c r="C18" s="237" t="s">
        <v>44</v>
      </c>
      <c r="D18" s="238"/>
      <c r="E18" s="190" t="s">
        <v>37</v>
      </c>
      <c r="F18" s="13"/>
      <c r="G18" s="110"/>
      <c r="H18" s="110"/>
      <c r="I18" s="110"/>
      <c r="J18" s="110"/>
      <c r="K18" s="192">
        <f t="shared" si="0"/>
        <v>0</v>
      </c>
      <c r="L18" s="192">
        <f t="shared" si="1"/>
        <v>0</v>
      </c>
      <c r="M18" s="192">
        <v>212.4</v>
      </c>
      <c r="N18" s="192">
        <f>+M18*1000/(15.4*10*17*60)*T18</f>
        <v>4.0565317035905268</v>
      </c>
      <c r="O18" s="192"/>
      <c r="P18" s="192">
        <f t="shared" si="2"/>
        <v>0</v>
      </c>
      <c r="Q18" s="192"/>
      <c r="R18" s="19">
        <f t="shared" si="3"/>
        <v>0</v>
      </c>
      <c r="S18" s="192">
        <f t="shared" si="4"/>
        <v>0</v>
      </c>
      <c r="T18" s="20">
        <v>3</v>
      </c>
      <c r="U18" s="20"/>
      <c r="V18" s="19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95">
        <v>300269</v>
      </c>
      <c r="B19" s="190" t="s">
        <v>43</v>
      </c>
      <c r="C19" s="226" t="s">
        <v>45</v>
      </c>
      <c r="D19" s="226"/>
      <c r="E19" s="194"/>
      <c r="F19" s="13"/>
      <c r="G19" s="110"/>
      <c r="H19" s="110"/>
      <c r="I19" s="110"/>
      <c r="J19" s="110"/>
      <c r="K19" s="192">
        <f t="shared" si="0"/>
        <v>0</v>
      </c>
      <c r="L19" s="192">
        <f t="shared" si="1"/>
        <v>0</v>
      </c>
      <c r="M19" s="192">
        <v>209.4</v>
      </c>
      <c r="N19" s="192">
        <f>+M19*1000/(19.4*10*16*60)*T19</f>
        <v>3.3730670103092786</v>
      </c>
      <c r="O19" s="192"/>
      <c r="P19" s="192">
        <f t="shared" si="2"/>
        <v>0</v>
      </c>
      <c r="Q19" s="192"/>
      <c r="R19" s="19">
        <f t="shared" si="3"/>
        <v>0</v>
      </c>
      <c r="S19" s="192">
        <f t="shared" si="4"/>
        <v>0</v>
      </c>
      <c r="T19" s="20">
        <v>3</v>
      </c>
      <c r="U19" s="20"/>
      <c r="V19" s="19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95"/>
      <c r="B20" s="190"/>
      <c r="C20" s="226" t="s">
        <v>46</v>
      </c>
      <c r="D20" s="226"/>
      <c r="E20" s="194" t="s">
        <v>47</v>
      </c>
      <c r="F20" s="13"/>
      <c r="G20" s="110"/>
      <c r="H20" s="110"/>
      <c r="I20" s="110"/>
      <c r="J20" s="110"/>
      <c r="K20" s="192">
        <f t="shared" si="0"/>
        <v>0</v>
      </c>
      <c r="L20" s="192">
        <f t="shared" si="1"/>
        <v>0</v>
      </c>
      <c r="M20" s="192">
        <v>209.9</v>
      </c>
      <c r="N20" s="192">
        <f>+M20*1000/(19*10*16*60)*T20</f>
        <v>3.4523026315789478</v>
      </c>
      <c r="O20" s="192"/>
      <c r="P20" s="192">
        <f t="shared" si="2"/>
        <v>0</v>
      </c>
      <c r="Q20" s="192"/>
      <c r="R20" s="19">
        <f t="shared" si="3"/>
        <v>0</v>
      </c>
      <c r="S20" s="192">
        <f t="shared" si="4"/>
        <v>0</v>
      </c>
      <c r="T20" s="20">
        <v>3</v>
      </c>
      <c r="U20" s="20"/>
      <c r="V20" s="19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95">
        <v>300350</v>
      </c>
      <c r="B21" s="190" t="s">
        <v>43</v>
      </c>
      <c r="C21" s="226" t="s">
        <v>48</v>
      </c>
      <c r="D21" s="226"/>
      <c r="E21" s="194" t="s">
        <v>49</v>
      </c>
      <c r="F21" s="13"/>
      <c r="G21" s="110"/>
      <c r="H21" s="110"/>
      <c r="I21" s="110"/>
      <c r="J21" s="110"/>
      <c r="K21" s="192">
        <f t="shared" si="0"/>
        <v>0</v>
      </c>
      <c r="L21" s="192">
        <f t="shared" si="1"/>
        <v>0</v>
      </c>
      <c r="M21" s="192">
        <v>209.9</v>
      </c>
      <c r="N21" s="192">
        <f>+M21*1000/(19*10*16*60)*T21</f>
        <v>2.3015350877192984</v>
      </c>
      <c r="O21" s="192"/>
      <c r="P21" s="192">
        <f t="shared" si="2"/>
        <v>0</v>
      </c>
      <c r="Q21" s="192"/>
      <c r="R21" s="19">
        <f t="shared" si="3"/>
        <v>0</v>
      </c>
      <c r="S21" s="192">
        <f t="shared" si="4"/>
        <v>0</v>
      </c>
      <c r="T21" s="20">
        <v>2</v>
      </c>
      <c r="U21" s="20"/>
      <c r="V21" s="19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95">
        <v>300113</v>
      </c>
      <c r="B22" s="190" t="s">
        <v>43</v>
      </c>
      <c r="C22" s="226" t="s">
        <v>50</v>
      </c>
      <c r="D22" s="226"/>
      <c r="E22" s="194" t="s">
        <v>40</v>
      </c>
      <c r="F22" s="13"/>
      <c r="G22" s="110"/>
      <c r="H22" s="110"/>
      <c r="I22" s="110"/>
      <c r="J22" s="110"/>
      <c r="K22" s="192">
        <f t="shared" si="0"/>
        <v>0</v>
      </c>
      <c r="L22" s="192">
        <f t="shared" si="1"/>
        <v>0</v>
      </c>
      <c r="M22" s="192">
        <v>210</v>
      </c>
      <c r="N22" s="192">
        <f>M22*1000/(19.2*10*17*60)*T22</f>
        <v>2.1446078431372548</v>
      </c>
      <c r="O22" s="192"/>
      <c r="P22" s="192">
        <f t="shared" si="2"/>
        <v>0</v>
      </c>
      <c r="Q22" s="192"/>
      <c r="R22" s="19">
        <f t="shared" si="3"/>
        <v>0</v>
      </c>
      <c r="S22" s="192">
        <f t="shared" si="4"/>
        <v>0</v>
      </c>
      <c r="T22" s="20">
        <v>2</v>
      </c>
      <c r="U22" s="20"/>
      <c r="V22" s="19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95">
        <v>300114</v>
      </c>
      <c r="B23" s="190" t="s">
        <v>43</v>
      </c>
      <c r="C23" s="226" t="s">
        <v>50</v>
      </c>
      <c r="D23" s="226"/>
      <c r="E23" s="194" t="s">
        <v>42</v>
      </c>
      <c r="F23" s="13"/>
      <c r="G23" s="110"/>
      <c r="H23" s="110"/>
      <c r="I23" s="110"/>
      <c r="J23" s="110"/>
      <c r="K23" s="192">
        <f t="shared" si="0"/>
        <v>0</v>
      </c>
      <c r="L23" s="192">
        <f t="shared" si="1"/>
        <v>0</v>
      </c>
      <c r="M23" s="192">
        <v>210</v>
      </c>
      <c r="N23" s="192">
        <f>M23*1000/(19.2*10*17*60)*T23</f>
        <v>2.1446078431372548</v>
      </c>
      <c r="O23" s="192"/>
      <c r="P23" s="192">
        <f t="shared" si="2"/>
        <v>0</v>
      </c>
      <c r="Q23" s="192"/>
      <c r="R23" s="19">
        <f t="shared" si="3"/>
        <v>0</v>
      </c>
      <c r="S23" s="192">
        <f t="shared" si="4"/>
        <v>0</v>
      </c>
      <c r="T23" s="20">
        <v>2</v>
      </c>
      <c r="U23" s="20"/>
      <c r="V23" s="19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95">
        <v>300115</v>
      </c>
      <c r="B24" s="190" t="s">
        <v>43</v>
      </c>
      <c r="C24" s="226" t="s">
        <v>50</v>
      </c>
      <c r="D24" s="226"/>
      <c r="E24" s="194" t="s">
        <v>41</v>
      </c>
      <c r="F24" s="13"/>
      <c r="G24" s="110"/>
      <c r="H24" s="110"/>
      <c r="I24" s="110"/>
      <c r="J24" s="110"/>
      <c r="K24" s="192">
        <f t="shared" si="0"/>
        <v>0</v>
      </c>
      <c r="L24" s="192">
        <f t="shared" si="1"/>
        <v>0</v>
      </c>
      <c r="M24" s="192">
        <v>210</v>
      </c>
      <c r="N24" s="192">
        <f>M24*1000/(19.2*10*17*60)*T24</f>
        <v>2.1446078431372548</v>
      </c>
      <c r="O24" s="192"/>
      <c r="P24" s="192">
        <f t="shared" si="2"/>
        <v>0</v>
      </c>
      <c r="Q24" s="192"/>
      <c r="R24" s="19">
        <f t="shared" si="3"/>
        <v>0</v>
      </c>
      <c r="S24" s="192">
        <f t="shared" si="4"/>
        <v>0</v>
      </c>
      <c r="T24" s="20">
        <v>2</v>
      </c>
      <c r="U24" s="20"/>
      <c r="V24" s="19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95">
        <v>300011</v>
      </c>
      <c r="B25" s="190" t="s">
        <v>43</v>
      </c>
      <c r="C25" s="226" t="s">
        <v>51</v>
      </c>
      <c r="D25" s="226"/>
      <c r="E25" s="194" t="s">
        <v>40</v>
      </c>
      <c r="F25" s="13"/>
      <c r="G25" s="110"/>
      <c r="H25" s="110"/>
      <c r="I25" s="110"/>
      <c r="J25" s="110"/>
      <c r="K25" s="192">
        <f t="shared" si="0"/>
        <v>0</v>
      </c>
      <c r="L25" s="192">
        <f t="shared" si="1"/>
        <v>0</v>
      </c>
      <c r="M25" s="192">
        <v>524.6</v>
      </c>
      <c r="N25" s="192">
        <f>+M25*1000/(25.4*20*15*60)*T25</f>
        <v>3.4422572178477688</v>
      </c>
      <c r="O25" s="192"/>
      <c r="P25" s="192">
        <f t="shared" si="2"/>
        <v>0</v>
      </c>
      <c r="Q25" s="192"/>
      <c r="R25" s="19">
        <f t="shared" si="3"/>
        <v>0</v>
      </c>
      <c r="S25" s="192">
        <f t="shared" si="4"/>
        <v>0</v>
      </c>
      <c r="T25" s="20">
        <v>3</v>
      </c>
      <c r="U25" s="20"/>
      <c r="V25" s="19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95">
        <v>300012</v>
      </c>
      <c r="B26" s="190" t="s">
        <v>43</v>
      </c>
      <c r="C26" s="226" t="s">
        <v>51</v>
      </c>
      <c r="D26" s="226"/>
      <c r="E26" s="194" t="s">
        <v>41</v>
      </c>
      <c r="F26" s="13"/>
      <c r="G26" s="110"/>
      <c r="H26" s="110"/>
      <c r="I26" s="110"/>
      <c r="J26" s="110"/>
      <c r="K26" s="192">
        <f t="shared" si="0"/>
        <v>0</v>
      </c>
      <c r="L26" s="192">
        <f t="shared" si="1"/>
        <v>0</v>
      </c>
      <c r="M26" s="192">
        <v>524.6</v>
      </c>
      <c r="N26" s="192">
        <f>+M26*1000/(25.4*20*15*60)*T26</f>
        <v>3.4422572178477688</v>
      </c>
      <c r="O26" s="192"/>
      <c r="P26" s="192">
        <f t="shared" si="2"/>
        <v>0</v>
      </c>
      <c r="Q26" s="192"/>
      <c r="R26" s="19">
        <f t="shared" si="3"/>
        <v>0</v>
      </c>
      <c r="S26" s="192">
        <f t="shared" si="4"/>
        <v>0</v>
      </c>
      <c r="T26" s="20">
        <v>3</v>
      </c>
      <c r="U26" s="20"/>
      <c r="V26" s="19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95">
        <v>300013</v>
      </c>
      <c r="B27" s="190">
        <v>3004</v>
      </c>
      <c r="C27" s="226" t="s">
        <v>51</v>
      </c>
      <c r="D27" s="226"/>
      <c r="E27" s="194" t="s">
        <v>42</v>
      </c>
      <c r="F27" s="13"/>
      <c r="G27" s="208">
        <v>10</v>
      </c>
      <c r="H27" s="208"/>
      <c r="I27" s="208">
        <f>10-(80/500)</f>
        <v>9.84</v>
      </c>
      <c r="J27" s="208">
        <v>80</v>
      </c>
      <c r="K27" s="192">
        <f t="shared" si="0"/>
        <v>5246</v>
      </c>
      <c r="L27" s="192">
        <f t="shared" si="1"/>
        <v>5162.0640000000003</v>
      </c>
      <c r="M27" s="192">
        <v>524.6</v>
      </c>
      <c r="N27" s="192">
        <f>+M27*1000/(25.4*20*15*60)*T27</f>
        <v>3.4422572178477688</v>
      </c>
      <c r="O27" s="192"/>
      <c r="P27" s="192">
        <f t="shared" si="2"/>
        <v>33.871811023622044</v>
      </c>
      <c r="Q27" s="192">
        <v>9</v>
      </c>
      <c r="R27" s="19">
        <f t="shared" si="3"/>
        <v>18</v>
      </c>
      <c r="S27" s="192">
        <f t="shared" si="4"/>
        <v>-15.871811023622044</v>
      </c>
      <c r="T27" s="20">
        <v>3</v>
      </c>
      <c r="U27" s="20">
        <v>2</v>
      </c>
      <c r="V27" s="198">
        <f t="array" ref="V27">IF(ISERROR(L27/K27),"",L27/K27)</f>
        <v>0.9840000000000001</v>
      </c>
      <c r="W27" s="20"/>
      <c r="X27" s="20"/>
      <c r="Y27" s="20"/>
      <c r="Z27" s="20"/>
      <c r="AA27" s="20">
        <v>2</v>
      </c>
      <c r="AB27" s="20"/>
      <c r="AC27" s="20"/>
    </row>
    <row r="28" spans="1:29" ht="21" hidden="1" customHeight="1">
      <c r="A28" s="195">
        <v>300016</v>
      </c>
      <c r="B28" s="190" t="s">
        <v>43</v>
      </c>
      <c r="C28" s="226" t="s">
        <v>51</v>
      </c>
      <c r="D28" s="226"/>
      <c r="E28" s="194" t="s">
        <v>38</v>
      </c>
      <c r="F28" s="13"/>
      <c r="G28" s="208"/>
      <c r="H28" s="208"/>
      <c r="I28" s="208"/>
      <c r="J28" s="208"/>
      <c r="K28" s="192">
        <f t="shared" si="0"/>
        <v>0</v>
      </c>
      <c r="L28" s="192">
        <f t="shared" si="1"/>
        <v>0</v>
      </c>
      <c r="M28" s="192">
        <v>524.6</v>
      </c>
      <c r="N28" s="192">
        <f>+M28*1000/(25.4*20*15*60)*T28</f>
        <v>3.4422572178477688</v>
      </c>
      <c r="O28" s="192"/>
      <c r="P28" s="192">
        <f t="shared" si="2"/>
        <v>0</v>
      </c>
      <c r="Q28" s="192"/>
      <c r="R28" s="19">
        <f t="shared" si="3"/>
        <v>0</v>
      </c>
      <c r="S28" s="192">
        <f t="shared" si="4"/>
        <v>0</v>
      </c>
      <c r="T28" s="20">
        <v>3</v>
      </c>
      <c r="U28" s="20"/>
      <c r="V28" s="19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203" t="s">
        <v>43</v>
      </c>
      <c r="C29" s="239" t="s">
        <v>51</v>
      </c>
      <c r="D29" s="239"/>
      <c r="E29" s="42" t="s">
        <v>309</v>
      </c>
      <c r="F29" s="127"/>
      <c r="G29" s="208"/>
      <c r="H29" s="208"/>
      <c r="I29" s="208"/>
      <c r="J29" s="20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95">
        <v>300276</v>
      </c>
      <c r="B30" s="190" t="s">
        <v>43</v>
      </c>
      <c r="C30" s="226" t="s">
        <v>53</v>
      </c>
      <c r="D30" s="226"/>
      <c r="E30" s="194" t="s">
        <v>41</v>
      </c>
      <c r="F30" s="13"/>
      <c r="G30" s="208"/>
      <c r="H30" s="208"/>
      <c r="I30" s="208"/>
      <c r="J30" s="208"/>
      <c r="K30" s="192">
        <f t="shared" si="0"/>
        <v>0</v>
      </c>
      <c r="L30" s="192">
        <f t="shared" si="1"/>
        <v>0</v>
      </c>
      <c r="M30" s="15">
        <v>266</v>
      </c>
      <c r="N30" s="192">
        <f>+M30*1000/(29.8*10*13*60)*T30</f>
        <v>3.4331440371708828</v>
      </c>
      <c r="O30" s="192"/>
      <c r="P30" s="192">
        <f t="shared" si="2"/>
        <v>0</v>
      </c>
      <c r="Q30" s="192"/>
      <c r="R30" s="19">
        <f t="shared" si="3"/>
        <v>0</v>
      </c>
      <c r="S30" s="192">
        <f t="shared" si="4"/>
        <v>0</v>
      </c>
      <c r="T30" s="20">
        <v>3</v>
      </c>
      <c r="U30" s="20"/>
      <c r="V30" s="19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95">
        <v>300277</v>
      </c>
      <c r="B31" s="190" t="s">
        <v>43</v>
      </c>
      <c r="C31" s="226" t="s">
        <v>53</v>
      </c>
      <c r="D31" s="226"/>
      <c r="E31" s="194" t="s">
        <v>39</v>
      </c>
      <c r="F31" s="13"/>
      <c r="G31" s="208"/>
      <c r="H31" s="208"/>
      <c r="I31" s="208"/>
      <c r="J31" s="208"/>
      <c r="K31" s="192">
        <f t="shared" si="0"/>
        <v>0</v>
      </c>
      <c r="L31" s="192">
        <f t="shared" si="1"/>
        <v>0</v>
      </c>
      <c r="M31" s="15">
        <v>266</v>
      </c>
      <c r="N31" s="192">
        <f>+M31*1000/(29.8*10*13*60)*T31</f>
        <v>3.4331440371708828</v>
      </c>
      <c r="O31" s="192"/>
      <c r="P31" s="192">
        <f t="shared" si="2"/>
        <v>0</v>
      </c>
      <c r="Q31" s="192"/>
      <c r="R31" s="19">
        <f t="shared" si="3"/>
        <v>0</v>
      </c>
      <c r="S31" s="192">
        <f t="shared" si="4"/>
        <v>0</v>
      </c>
      <c r="T31" s="20">
        <v>3</v>
      </c>
      <c r="U31" s="20"/>
      <c r="V31" s="19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95">
        <v>300278</v>
      </c>
      <c r="B32" s="190" t="s">
        <v>43</v>
      </c>
      <c r="C32" s="226" t="s">
        <v>53</v>
      </c>
      <c r="D32" s="226"/>
      <c r="E32" s="194" t="s">
        <v>54</v>
      </c>
      <c r="F32" s="13"/>
      <c r="G32" s="208"/>
      <c r="H32" s="208"/>
      <c r="I32" s="208"/>
      <c r="J32" s="208"/>
      <c r="K32" s="192">
        <f t="shared" si="0"/>
        <v>0</v>
      </c>
      <c r="L32" s="192">
        <f t="shared" si="1"/>
        <v>0</v>
      </c>
      <c r="M32" s="15">
        <v>266</v>
      </c>
      <c r="N32" s="192">
        <f>+M32*1000/(29.8*10*13*60)*T32</f>
        <v>3.4331440371708828</v>
      </c>
      <c r="O32" s="192"/>
      <c r="P32" s="192">
        <f t="shared" si="2"/>
        <v>0</v>
      </c>
      <c r="Q32" s="192"/>
      <c r="R32" s="19">
        <f t="shared" si="3"/>
        <v>0</v>
      </c>
      <c r="S32" s="192">
        <f t="shared" si="4"/>
        <v>0</v>
      </c>
      <c r="T32" s="20">
        <v>3</v>
      </c>
      <c r="U32" s="20"/>
      <c r="V32" s="19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95">
        <v>300027</v>
      </c>
      <c r="B33" s="190" t="s">
        <v>55</v>
      </c>
      <c r="C33" s="226" t="s">
        <v>56</v>
      </c>
      <c r="D33" s="226"/>
      <c r="E33" s="194" t="s">
        <v>54</v>
      </c>
      <c r="F33" s="13"/>
      <c r="G33" s="208"/>
      <c r="H33" s="208"/>
      <c r="I33" s="208"/>
      <c r="J33" s="208"/>
      <c r="K33" s="192">
        <f t="shared" si="0"/>
        <v>0</v>
      </c>
      <c r="L33" s="192">
        <f t="shared" si="1"/>
        <v>0</v>
      </c>
      <c r="M33" s="192">
        <v>550.4</v>
      </c>
      <c r="N33" s="192">
        <f>+M33*1000/(31*20*15*60)*T33</f>
        <v>2.9591397849462364</v>
      </c>
      <c r="O33" s="192"/>
      <c r="P33" s="192">
        <f t="shared" si="2"/>
        <v>0</v>
      </c>
      <c r="Q33" s="192"/>
      <c r="R33" s="19">
        <f t="shared" si="3"/>
        <v>0</v>
      </c>
      <c r="S33" s="192">
        <f t="shared" si="4"/>
        <v>0</v>
      </c>
      <c r="T33" s="20">
        <v>3</v>
      </c>
      <c r="U33" s="20"/>
      <c r="V33" s="19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95">
        <v>300028</v>
      </c>
      <c r="B34" s="190" t="s">
        <v>55</v>
      </c>
      <c r="C34" s="226" t="s">
        <v>56</v>
      </c>
      <c r="D34" s="226"/>
      <c r="E34" s="194" t="s">
        <v>35</v>
      </c>
      <c r="F34" s="13"/>
      <c r="G34" s="208"/>
      <c r="H34" s="208"/>
      <c r="I34" s="208"/>
      <c r="J34" s="208"/>
      <c r="K34" s="192">
        <f t="shared" si="0"/>
        <v>0</v>
      </c>
      <c r="L34" s="192">
        <f t="shared" si="1"/>
        <v>0</v>
      </c>
      <c r="M34" s="192">
        <v>550.4</v>
      </c>
      <c r="N34" s="192">
        <f>+M34*1000/(31*20*15*60)*T34</f>
        <v>2.9591397849462364</v>
      </c>
      <c r="O34" s="192"/>
      <c r="P34" s="192">
        <f t="shared" si="2"/>
        <v>0</v>
      </c>
      <c r="Q34" s="192"/>
      <c r="R34" s="19">
        <f t="shared" si="3"/>
        <v>0</v>
      </c>
      <c r="S34" s="192">
        <f t="shared" si="4"/>
        <v>0</v>
      </c>
      <c r="T34" s="20">
        <v>3</v>
      </c>
      <c r="U34" s="20"/>
      <c r="V34" s="19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95">
        <v>300029</v>
      </c>
      <c r="B35" s="190" t="s">
        <v>55</v>
      </c>
      <c r="C35" s="226" t="s">
        <v>56</v>
      </c>
      <c r="D35" s="226"/>
      <c r="E35" s="194" t="s">
        <v>57</v>
      </c>
      <c r="F35" s="13"/>
      <c r="G35" s="208"/>
      <c r="H35" s="208"/>
      <c r="I35" s="208"/>
      <c r="J35" s="208"/>
      <c r="K35" s="192">
        <f t="shared" si="0"/>
        <v>0</v>
      </c>
      <c r="L35" s="192">
        <f t="shared" si="1"/>
        <v>0</v>
      </c>
      <c r="M35" s="192">
        <v>550.4</v>
      </c>
      <c r="N35" s="192">
        <f>+M35*1000/(31*20*15*60)*T35</f>
        <v>2.9591397849462364</v>
      </c>
      <c r="O35" s="192"/>
      <c r="P35" s="192">
        <f t="shared" si="2"/>
        <v>0</v>
      </c>
      <c r="Q35" s="192"/>
      <c r="R35" s="19">
        <f t="shared" si="3"/>
        <v>0</v>
      </c>
      <c r="S35" s="192">
        <f t="shared" si="4"/>
        <v>0</v>
      </c>
      <c r="T35" s="20">
        <v>3</v>
      </c>
      <c r="U35" s="20"/>
      <c r="V35" s="19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95">
        <v>300026</v>
      </c>
      <c r="B36" s="190" t="s">
        <v>55</v>
      </c>
      <c r="C36" s="226" t="s">
        <v>56</v>
      </c>
      <c r="D36" s="226"/>
      <c r="E36" s="194" t="s">
        <v>37</v>
      </c>
      <c r="F36" s="13"/>
      <c r="G36" s="208"/>
      <c r="H36" s="208"/>
      <c r="I36" s="208"/>
      <c r="J36" s="208"/>
      <c r="K36" s="192">
        <f t="shared" si="0"/>
        <v>0</v>
      </c>
      <c r="L36" s="192">
        <f t="shared" si="1"/>
        <v>0</v>
      </c>
      <c r="M36" s="192">
        <v>550.4</v>
      </c>
      <c r="N36" s="192">
        <f>+M36*1000/(31*20*15*60)*T36</f>
        <v>2.9591397849462364</v>
      </c>
      <c r="O36" s="192"/>
      <c r="P36" s="192">
        <f t="shared" si="2"/>
        <v>0</v>
      </c>
      <c r="Q36" s="192"/>
      <c r="R36" s="19">
        <f t="shared" si="3"/>
        <v>0</v>
      </c>
      <c r="S36" s="192">
        <f t="shared" si="4"/>
        <v>0</v>
      </c>
      <c r="T36" s="20">
        <v>3</v>
      </c>
      <c r="U36" s="20"/>
      <c r="V36" s="19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95">
        <v>300032</v>
      </c>
      <c r="B37" s="190">
        <v>3002</v>
      </c>
      <c r="C37" s="226" t="s">
        <v>58</v>
      </c>
      <c r="D37" s="226" t="s">
        <v>59</v>
      </c>
      <c r="E37" s="194" t="s">
        <v>35</v>
      </c>
      <c r="F37" s="13"/>
      <c r="G37" s="208"/>
      <c r="H37" s="208"/>
      <c r="I37" s="208"/>
      <c r="J37" s="208"/>
      <c r="K37" s="192">
        <f t="shared" si="0"/>
        <v>0</v>
      </c>
      <c r="L37" s="192">
        <f t="shared" si="1"/>
        <v>0</v>
      </c>
      <c r="M37" s="192">
        <v>285.7</v>
      </c>
      <c r="N37" s="192">
        <f>+M37*1000/(31*10*13*60)*T37</f>
        <v>7.0893300248138953</v>
      </c>
      <c r="O37" s="192"/>
      <c r="P37" s="192">
        <f t="shared" si="2"/>
        <v>0</v>
      </c>
      <c r="Q37" s="192"/>
      <c r="R37" s="19">
        <f t="shared" si="3"/>
        <v>0</v>
      </c>
      <c r="S37" s="192">
        <f t="shared" si="4"/>
        <v>0</v>
      </c>
      <c r="T37" s="20">
        <v>6</v>
      </c>
      <c r="U37" s="20"/>
      <c r="V37" s="19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95">
        <v>300413</v>
      </c>
      <c r="B38" s="190">
        <v>3002</v>
      </c>
      <c r="C38" s="237" t="s">
        <v>304</v>
      </c>
      <c r="D38" s="238"/>
      <c r="E38" s="194" t="s">
        <v>302</v>
      </c>
      <c r="F38" s="13"/>
      <c r="G38" s="208"/>
      <c r="H38" s="208"/>
      <c r="I38" s="208"/>
      <c r="J38" s="208"/>
      <c r="K38" s="192">
        <f t="shared" si="0"/>
        <v>0</v>
      </c>
      <c r="L38" s="192">
        <f t="shared" si="1"/>
        <v>0</v>
      </c>
      <c r="M38" s="192">
        <v>528.79999999999995</v>
      </c>
      <c r="N38" s="192">
        <f>+M38*1000/(31*10*13*60)*T38</f>
        <v>6.5607940446650126</v>
      </c>
      <c r="O38" s="192"/>
      <c r="P38" s="192">
        <f t="shared" si="2"/>
        <v>0</v>
      </c>
      <c r="Q38" s="192"/>
      <c r="R38" s="19">
        <f t="shared" si="3"/>
        <v>0</v>
      </c>
      <c r="S38" s="192">
        <f t="shared" si="4"/>
        <v>0</v>
      </c>
      <c r="T38" s="20">
        <v>3</v>
      </c>
      <c r="U38" s="20"/>
      <c r="V38" s="198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95">
        <v>300414</v>
      </c>
      <c r="B39" s="190">
        <v>3002</v>
      </c>
      <c r="C39" s="237" t="s">
        <v>304</v>
      </c>
      <c r="D39" s="238"/>
      <c r="E39" s="194" t="s">
        <v>311</v>
      </c>
      <c r="F39" s="13"/>
      <c r="G39" s="208"/>
      <c r="H39" s="208"/>
      <c r="I39" s="208"/>
      <c r="J39" s="208"/>
      <c r="K39" s="192">
        <f t="shared" si="0"/>
        <v>0</v>
      </c>
      <c r="L39" s="192">
        <f t="shared" si="1"/>
        <v>0</v>
      </c>
      <c r="M39" s="192">
        <v>528.79999999999995</v>
      </c>
      <c r="N39" s="192">
        <f>+M39*1000/(31*10*13*60)*T39</f>
        <v>6.5607940446650126</v>
      </c>
      <c r="O39" s="192"/>
      <c r="P39" s="192">
        <f t="shared" si="2"/>
        <v>0</v>
      </c>
      <c r="Q39" s="192"/>
      <c r="R39" s="19">
        <f t="shared" si="3"/>
        <v>0</v>
      </c>
      <c r="S39" s="192">
        <f t="shared" si="4"/>
        <v>0</v>
      </c>
      <c r="T39" s="20">
        <v>3</v>
      </c>
      <c r="U39" s="20"/>
      <c r="V39" s="198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95">
        <v>300415</v>
      </c>
      <c r="B40" s="190">
        <v>3002</v>
      </c>
      <c r="C40" s="237" t="s">
        <v>304</v>
      </c>
      <c r="D40" s="238"/>
      <c r="E40" s="194" t="s">
        <v>303</v>
      </c>
      <c r="F40" s="13"/>
      <c r="G40" s="208"/>
      <c r="H40" s="208"/>
      <c r="I40" s="208"/>
      <c r="J40" s="208"/>
      <c r="K40" s="192">
        <f t="shared" si="0"/>
        <v>0</v>
      </c>
      <c r="L40" s="192">
        <f t="shared" si="1"/>
        <v>0</v>
      </c>
      <c r="M40" s="192">
        <v>528.79999999999995</v>
      </c>
      <c r="N40" s="192">
        <f>+M40*1000/(31*10*13*60)*T40</f>
        <v>6.5607940446650126</v>
      </c>
      <c r="O40" s="192"/>
      <c r="P40" s="192">
        <f t="shared" si="2"/>
        <v>0</v>
      </c>
      <c r="Q40" s="192"/>
      <c r="R40" s="19">
        <f t="shared" si="3"/>
        <v>0</v>
      </c>
      <c r="S40" s="192">
        <f t="shared" si="4"/>
        <v>0</v>
      </c>
      <c r="T40" s="20">
        <v>3</v>
      </c>
      <c r="U40" s="20"/>
      <c r="V40" s="198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95">
        <v>300035</v>
      </c>
      <c r="B41" s="190" t="s">
        <v>60</v>
      </c>
      <c r="C41" s="226" t="s">
        <v>61</v>
      </c>
      <c r="D41" s="226" t="s">
        <v>62</v>
      </c>
      <c r="E41" s="194" t="s">
        <v>35</v>
      </c>
      <c r="F41" s="13"/>
      <c r="G41" s="208"/>
      <c r="H41" s="208"/>
      <c r="I41" s="208"/>
      <c r="J41" s="208"/>
      <c r="K41" s="192">
        <f t="shared" si="0"/>
        <v>0</v>
      </c>
      <c r="L41" s="192">
        <f t="shared" si="1"/>
        <v>0</v>
      </c>
      <c r="M41" s="192">
        <v>366.93</v>
      </c>
      <c r="N41" s="192">
        <f>+M41*1000/(35.8*10*13*60)*T41</f>
        <v>2.6280618822518265</v>
      </c>
      <c r="O41" s="192"/>
      <c r="P41" s="192">
        <f t="shared" si="2"/>
        <v>0</v>
      </c>
      <c r="Q41" s="192"/>
      <c r="R41" s="19">
        <f t="shared" si="3"/>
        <v>0</v>
      </c>
      <c r="S41" s="192">
        <f t="shared" si="4"/>
        <v>0</v>
      </c>
      <c r="T41" s="20">
        <v>2</v>
      </c>
      <c r="U41" s="20"/>
      <c r="V41" s="19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95">
        <v>300036</v>
      </c>
      <c r="B42" s="190" t="s">
        <v>60</v>
      </c>
      <c r="C42" s="226" t="s">
        <v>61</v>
      </c>
      <c r="D42" s="226" t="s">
        <v>62</v>
      </c>
      <c r="E42" s="194" t="s">
        <v>63</v>
      </c>
      <c r="F42" s="13"/>
      <c r="G42" s="208"/>
      <c r="H42" s="208"/>
      <c r="I42" s="208"/>
      <c r="J42" s="208"/>
      <c r="K42" s="192">
        <f t="shared" si="0"/>
        <v>0</v>
      </c>
      <c r="L42" s="192">
        <f t="shared" si="1"/>
        <v>0</v>
      </c>
      <c r="M42" s="192">
        <v>366.93</v>
      </c>
      <c r="N42" s="192">
        <f>+M42*1000/(35.8*10*13*60)*T42</f>
        <v>2.6280618822518265</v>
      </c>
      <c r="O42" s="192"/>
      <c r="P42" s="192">
        <f t="shared" si="2"/>
        <v>0</v>
      </c>
      <c r="Q42" s="192"/>
      <c r="R42" s="19">
        <f t="shared" si="3"/>
        <v>0</v>
      </c>
      <c r="S42" s="192">
        <f t="shared" si="4"/>
        <v>0</v>
      </c>
      <c r="T42" s="20">
        <v>2</v>
      </c>
      <c r="U42" s="20"/>
      <c r="V42" s="19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95">
        <v>300037</v>
      </c>
      <c r="B43" s="190" t="s">
        <v>60</v>
      </c>
      <c r="C43" s="226" t="s">
        <v>61</v>
      </c>
      <c r="D43" s="226" t="s">
        <v>62</v>
      </c>
      <c r="E43" s="194" t="s">
        <v>37</v>
      </c>
      <c r="F43" s="13"/>
      <c r="G43" s="208"/>
      <c r="H43" s="208"/>
      <c r="I43" s="208"/>
      <c r="J43" s="208"/>
      <c r="K43" s="192">
        <f t="shared" si="0"/>
        <v>0</v>
      </c>
      <c r="L43" s="192">
        <f t="shared" si="1"/>
        <v>0</v>
      </c>
      <c r="M43" s="192">
        <v>366.93</v>
      </c>
      <c r="N43" s="192">
        <f>+M43*1000/(35.8*10*13*60)*T43</f>
        <v>2.6280618822518265</v>
      </c>
      <c r="O43" s="192"/>
      <c r="P43" s="192">
        <f t="shared" si="2"/>
        <v>0</v>
      </c>
      <c r="Q43" s="192"/>
      <c r="R43" s="19">
        <f t="shared" si="3"/>
        <v>0</v>
      </c>
      <c r="S43" s="192">
        <f t="shared" si="4"/>
        <v>0</v>
      </c>
      <c r="T43" s="20">
        <v>2</v>
      </c>
      <c r="U43" s="20"/>
      <c r="V43" s="19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95">
        <v>300038</v>
      </c>
      <c r="B44" s="190" t="s">
        <v>60</v>
      </c>
      <c r="C44" s="226" t="s">
        <v>64</v>
      </c>
      <c r="D44" s="226" t="s">
        <v>65</v>
      </c>
      <c r="E44" s="194" t="s">
        <v>35</v>
      </c>
      <c r="F44" s="13"/>
      <c r="G44" s="208"/>
      <c r="H44" s="208"/>
      <c r="I44" s="208"/>
      <c r="J44" s="208"/>
      <c r="K44" s="192">
        <f t="shared" si="0"/>
        <v>0</v>
      </c>
      <c r="L44" s="192">
        <f t="shared" si="1"/>
        <v>0</v>
      </c>
      <c r="M44" s="192">
        <v>301.14</v>
      </c>
      <c r="N44" s="192">
        <f>+M44*1000/(35.8*10*13*60)*T44</f>
        <v>5.3921357971637294</v>
      </c>
      <c r="O44" s="192"/>
      <c r="P44" s="192">
        <f t="shared" si="2"/>
        <v>0</v>
      </c>
      <c r="Q44" s="192"/>
      <c r="R44" s="19">
        <f t="shared" si="3"/>
        <v>0</v>
      </c>
      <c r="S44" s="192">
        <f t="shared" si="4"/>
        <v>0</v>
      </c>
      <c r="T44" s="20">
        <v>5</v>
      </c>
      <c r="U44" s="20"/>
      <c r="V44" s="19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95">
        <v>300039</v>
      </c>
      <c r="B45" s="190" t="s">
        <v>60</v>
      </c>
      <c r="C45" s="226" t="s">
        <v>64</v>
      </c>
      <c r="D45" s="226" t="s">
        <v>65</v>
      </c>
      <c r="E45" s="194" t="s">
        <v>66</v>
      </c>
      <c r="F45" s="13"/>
      <c r="G45" s="208"/>
      <c r="H45" s="208"/>
      <c r="I45" s="208"/>
      <c r="J45" s="208"/>
      <c r="K45" s="192">
        <f t="shared" si="0"/>
        <v>0</v>
      </c>
      <c r="L45" s="192">
        <f t="shared" si="1"/>
        <v>0</v>
      </c>
      <c r="M45" s="192">
        <v>310.39999999999998</v>
      </c>
      <c r="N45" s="192">
        <f>+M45*1000/(35.8*10*13*60)*T45</f>
        <v>5.557942988110586</v>
      </c>
      <c r="O45" s="192"/>
      <c r="P45" s="192">
        <f t="shared" si="2"/>
        <v>0</v>
      </c>
      <c r="Q45" s="192"/>
      <c r="R45" s="19">
        <f t="shared" si="3"/>
        <v>0</v>
      </c>
      <c r="S45" s="192">
        <f t="shared" si="4"/>
        <v>0</v>
      </c>
      <c r="T45" s="20">
        <v>5</v>
      </c>
      <c r="U45" s="20"/>
      <c r="V45" s="19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95">
        <v>300416</v>
      </c>
      <c r="B46" s="190" t="s">
        <v>67</v>
      </c>
      <c r="C46" s="237" t="s">
        <v>68</v>
      </c>
      <c r="D46" s="238"/>
      <c r="E46" s="194" t="s">
        <v>69</v>
      </c>
      <c r="F46" s="196"/>
      <c r="G46" s="208"/>
      <c r="H46" s="208"/>
      <c r="I46" s="208"/>
      <c r="J46" s="208"/>
      <c r="K46" s="192">
        <f t="shared" si="0"/>
        <v>0</v>
      </c>
      <c r="L46" s="192">
        <f t="shared" si="1"/>
        <v>0</v>
      </c>
      <c r="M46" s="192">
        <v>385.6</v>
      </c>
      <c r="N46" s="192">
        <f>+M46*1000/(25.4*20*15*60)*T46</f>
        <v>2.5301837270341205</v>
      </c>
      <c r="O46" s="192"/>
      <c r="P46" s="192">
        <f t="shared" si="2"/>
        <v>0</v>
      </c>
      <c r="Q46" s="192"/>
      <c r="R46" s="19">
        <f t="shared" si="3"/>
        <v>0</v>
      </c>
      <c r="S46" s="192">
        <f t="shared" si="4"/>
        <v>0</v>
      </c>
      <c r="T46" s="20">
        <v>3</v>
      </c>
      <c r="U46" s="20"/>
      <c r="V46" s="198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95">
        <v>300417</v>
      </c>
      <c r="B47" s="190" t="s">
        <v>67</v>
      </c>
      <c r="C47" s="237" t="s">
        <v>68</v>
      </c>
      <c r="D47" s="238"/>
      <c r="E47" s="194" t="s">
        <v>70</v>
      </c>
      <c r="F47" s="196"/>
      <c r="G47" s="208"/>
      <c r="H47" s="208"/>
      <c r="I47" s="208"/>
      <c r="J47" s="208"/>
      <c r="K47" s="192">
        <f t="shared" si="0"/>
        <v>0</v>
      </c>
      <c r="L47" s="192">
        <f t="shared" si="1"/>
        <v>0</v>
      </c>
      <c r="M47" s="192">
        <v>385.6</v>
      </c>
      <c r="N47" s="192">
        <f>+M47*1000/(25.4*20*15*60)*T47</f>
        <v>2.5301837270341205</v>
      </c>
      <c r="O47" s="192"/>
      <c r="P47" s="192">
        <f t="shared" si="2"/>
        <v>0</v>
      </c>
      <c r="Q47" s="192"/>
      <c r="R47" s="19">
        <f t="shared" si="3"/>
        <v>0</v>
      </c>
      <c r="S47" s="192">
        <f t="shared" si="4"/>
        <v>0</v>
      </c>
      <c r="T47" s="20">
        <v>3</v>
      </c>
      <c r="U47" s="20"/>
      <c r="V47" s="198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95">
        <v>300418</v>
      </c>
      <c r="B48" s="190" t="s">
        <v>67</v>
      </c>
      <c r="C48" s="237" t="s">
        <v>68</v>
      </c>
      <c r="D48" s="238"/>
      <c r="E48" s="194" t="s">
        <v>71</v>
      </c>
      <c r="F48" s="196"/>
      <c r="G48" s="208"/>
      <c r="H48" s="208"/>
      <c r="I48" s="208"/>
      <c r="J48" s="208"/>
      <c r="K48" s="192">
        <f t="shared" si="0"/>
        <v>0</v>
      </c>
      <c r="L48" s="192">
        <f t="shared" si="1"/>
        <v>0</v>
      </c>
      <c r="M48" s="192">
        <v>385.6</v>
      </c>
      <c r="N48" s="192">
        <f>+M48*1000/(25.4*20*15*60)*T48</f>
        <v>2.5301837270341205</v>
      </c>
      <c r="O48" s="192"/>
      <c r="P48" s="192">
        <f t="shared" si="2"/>
        <v>0</v>
      </c>
      <c r="Q48" s="192"/>
      <c r="R48" s="19">
        <f t="shared" si="3"/>
        <v>0</v>
      </c>
      <c r="S48" s="192">
        <f t="shared" si="4"/>
        <v>0</v>
      </c>
      <c r="T48" s="20">
        <v>3</v>
      </c>
      <c r="U48" s="20"/>
      <c r="V48" s="198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95">
        <v>300419</v>
      </c>
      <c r="B49" s="190" t="s">
        <v>67</v>
      </c>
      <c r="C49" s="237" t="s">
        <v>68</v>
      </c>
      <c r="D49" s="238"/>
      <c r="E49" s="194" t="s">
        <v>72</v>
      </c>
      <c r="F49" s="196"/>
      <c r="G49" s="208"/>
      <c r="H49" s="208"/>
      <c r="I49" s="208"/>
      <c r="J49" s="208"/>
      <c r="K49" s="192">
        <f t="shared" si="0"/>
        <v>0</v>
      </c>
      <c r="L49" s="192">
        <f t="shared" si="1"/>
        <v>0</v>
      </c>
      <c r="M49" s="192">
        <v>385.6</v>
      </c>
      <c r="N49" s="192">
        <f>+M49*1000/(25.4*20*15*60)*T49</f>
        <v>2.5301837270341205</v>
      </c>
      <c r="O49" s="192"/>
      <c r="P49" s="192">
        <f t="shared" si="2"/>
        <v>0</v>
      </c>
      <c r="Q49" s="192"/>
      <c r="R49" s="19">
        <f t="shared" si="3"/>
        <v>0</v>
      </c>
      <c r="S49" s="192">
        <f t="shared" si="4"/>
        <v>0</v>
      </c>
      <c r="T49" s="20">
        <v>3</v>
      </c>
      <c r="U49" s="20"/>
      <c r="V49" s="198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95">
        <v>300260</v>
      </c>
      <c r="B50" s="190" t="s">
        <v>67</v>
      </c>
      <c r="C50" s="226" t="s">
        <v>73</v>
      </c>
      <c r="D50" s="226"/>
      <c r="E50" s="194" t="s">
        <v>74</v>
      </c>
      <c r="F50" s="13"/>
      <c r="G50" s="208"/>
      <c r="H50" s="208"/>
      <c r="I50" s="208"/>
      <c r="J50" s="208"/>
      <c r="K50" s="192">
        <f t="shared" si="0"/>
        <v>0</v>
      </c>
      <c r="L50" s="192">
        <f t="shared" si="1"/>
        <v>0</v>
      </c>
      <c r="M50" s="192">
        <v>434.33</v>
      </c>
      <c r="N50" s="192">
        <f>+M50*1000/(42.7*10*15*60)*T50</f>
        <v>2.2603695029924538</v>
      </c>
      <c r="O50" s="192"/>
      <c r="P50" s="192">
        <f t="shared" si="2"/>
        <v>0</v>
      </c>
      <c r="Q50" s="192"/>
      <c r="R50" s="19">
        <f t="shared" si="3"/>
        <v>0</v>
      </c>
      <c r="S50" s="192">
        <f t="shared" si="4"/>
        <v>0</v>
      </c>
      <c r="T50" s="20">
        <v>2</v>
      </c>
      <c r="U50" s="20"/>
      <c r="V50" s="19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95">
        <v>300261</v>
      </c>
      <c r="B51" s="190" t="s">
        <v>67</v>
      </c>
      <c r="C51" s="226" t="s">
        <v>73</v>
      </c>
      <c r="D51" s="226"/>
      <c r="E51" s="194" t="s">
        <v>41</v>
      </c>
      <c r="F51" s="13"/>
      <c r="G51" s="208"/>
      <c r="H51" s="208"/>
      <c r="I51" s="208"/>
      <c r="J51" s="208"/>
      <c r="K51" s="192">
        <f t="shared" si="0"/>
        <v>0</v>
      </c>
      <c r="L51" s="192">
        <f t="shared" si="1"/>
        <v>0</v>
      </c>
      <c r="M51" s="192">
        <v>434.33</v>
      </c>
      <c r="N51" s="192">
        <f>+M51*1000/(42.7*10*15*60)*T51</f>
        <v>2.2603695029924538</v>
      </c>
      <c r="O51" s="192"/>
      <c r="P51" s="192">
        <f t="shared" si="2"/>
        <v>0</v>
      </c>
      <c r="Q51" s="192"/>
      <c r="R51" s="19">
        <f t="shared" si="3"/>
        <v>0</v>
      </c>
      <c r="S51" s="192">
        <f t="shared" si="4"/>
        <v>0</v>
      </c>
      <c r="T51" s="20">
        <v>2</v>
      </c>
      <c r="U51" s="20"/>
      <c r="V51" s="19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95">
        <v>300262</v>
      </c>
      <c r="B52" s="190" t="s">
        <v>67</v>
      </c>
      <c r="C52" s="226" t="s">
        <v>73</v>
      </c>
      <c r="D52" s="226"/>
      <c r="E52" s="194" t="s">
        <v>39</v>
      </c>
      <c r="F52" s="13"/>
      <c r="G52" s="208"/>
      <c r="H52" s="208"/>
      <c r="I52" s="208"/>
      <c r="J52" s="208"/>
      <c r="K52" s="192">
        <f t="shared" si="0"/>
        <v>0</v>
      </c>
      <c r="L52" s="192">
        <f t="shared" si="1"/>
        <v>0</v>
      </c>
      <c r="M52" s="192">
        <v>434.33</v>
      </c>
      <c r="N52" s="192">
        <f>+M52*1000/(42.7*10*15*60)*T52</f>
        <v>2.2603695029924538</v>
      </c>
      <c r="O52" s="192"/>
      <c r="P52" s="192">
        <f t="shared" si="2"/>
        <v>0</v>
      </c>
      <c r="Q52" s="192"/>
      <c r="R52" s="19">
        <f t="shared" si="3"/>
        <v>0</v>
      </c>
      <c r="S52" s="192">
        <f t="shared" si="4"/>
        <v>0</v>
      </c>
      <c r="T52" s="20">
        <v>2</v>
      </c>
      <c r="U52" s="20"/>
      <c r="V52" s="19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95">
        <v>300263</v>
      </c>
      <c r="B53" s="190" t="s">
        <v>67</v>
      </c>
      <c r="C53" s="226" t="s">
        <v>73</v>
      </c>
      <c r="D53" s="226"/>
      <c r="E53" s="194" t="s">
        <v>54</v>
      </c>
      <c r="F53" s="13"/>
      <c r="G53" s="208"/>
      <c r="H53" s="208"/>
      <c r="I53" s="208"/>
      <c r="J53" s="208"/>
      <c r="K53" s="192">
        <f t="shared" si="0"/>
        <v>0</v>
      </c>
      <c r="L53" s="192">
        <f t="shared" si="1"/>
        <v>0</v>
      </c>
      <c r="M53" s="192">
        <v>434.33</v>
      </c>
      <c r="N53" s="192">
        <f>+M53*1000/(42.7*10*15*60)*T53</f>
        <v>2.2603695029924538</v>
      </c>
      <c r="O53" s="192"/>
      <c r="P53" s="192">
        <f t="shared" si="2"/>
        <v>0</v>
      </c>
      <c r="Q53" s="192"/>
      <c r="R53" s="19">
        <f t="shared" si="3"/>
        <v>0</v>
      </c>
      <c r="S53" s="192">
        <f t="shared" si="4"/>
        <v>0</v>
      </c>
      <c r="T53" s="20">
        <v>2</v>
      </c>
      <c r="U53" s="20"/>
      <c r="V53" s="19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95">
        <v>300051</v>
      </c>
      <c r="B54" s="190" t="s">
        <v>67</v>
      </c>
      <c r="C54" s="226" t="s">
        <v>75</v>
      </c>
      <c r="D54" s="226" t="s">
        <v>76</v>
      </c>
      <c r="E54" s="194" t="s">
        <v>40</v>
      </c>
      <c r="F54" s="13"/>
      <c r="G54" s="208"/>
      <c r="H54" s="208"/>
      <c r="I54" s="208"/>
      <c r="J54" s="208"/>
      <c r="K54" s="192">
        <f t="shared" si="0"/>
        <v>0</v>
      </c>
      <c r="L54" s="192">
        <f t="shared" si="1"/>
        <v>0</v>
      </c>
      <c r="M54" s="192">
        <v>545.9</v>
      </c>
      <c r="N54" s="192">
        <f>+M54*1000/(41.5*10*16*60)*T54</f>
        <v>2.7404618473895583</v>
      </c>
      <c r="O54" s="192"/>
      <c r="P54" s="192">
        <f t="shared" si="2"/>
        <v>0</v>
      </c>
      <c r="Q54" s="192"/>
      <c r="R54" s="19">
        <f t="shared" si="3"/>
        <v>0</v>
      </c>
      <c r="S54" s="192">
        <f t="shared" si="4"/>
        <v>0</v>
      </c>
      <c r="T54" s="22">
        <v>2</v>
      </c>
      <c r="U54" s="20"/>
      <c r="V54" s="19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95">
        <v>300052</v>
      </c>
      <c r="B55" s="190" t="s">
        <v>67</v>
      </c>
      <c r="C55" s="226" t="s">
        <v>75</v>
      </c>
      <c r="D55" s="226" t="s">
        <v>76</v>
      </c>
      <c r="E55" s="194" t="s">
        <v>39</v>
      </c>
      <c r="F55" s="13"/>
      <c r="G55" s="208"/>
      <c r="H55" s="208"/>
      <c r="I55" s="208"/>
      <c r="J55" s="208"/>
      <c r="K55" s="192">
        <f t="shared" si="0"/>
        <v>0</v>
      </c>
      <c r="L55" s="192">
        <f t="shared" si="1"/>
        <v>0</v>
      </c>
      <c r="M55" s="192">
        <v>545.9</v>
      </c>
      <c r="N55" s="192">
        <f>+M55*1000/(41.5*10*16*60)*T55</f>
        <v>2.7404618473895583</v>
      </c>
      <c r="O55" s="192"/>
      <c r="P55" s="192">
        <f t="shared" si="2"/>
        <v>0</v>
      </c>
      <c r="Q55" s="192"/>
      <c r="R55" s="19">
        <f t="shared" si="3"/>
        <v>0</v>
      </c>
      <c r="S55" s="192">
        <f t="shared" si="4"/>
        <v>0</v>
      </c>
      <c r="T55" s="20">
        <v>2</v>
      </c>
      <c r="U55" s="20"/>
      <c r="V55" s="19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95">
        <v>300054</v>
      </c>
      <c r="B56" s="190" t="s">
        <v>67</v>
      </c>
      <c r="C56" s="226" t="s">
        <v>75</v>
      </c>
      <c r="D56" s="226" t="s">
        <v>76</v>
      </c>
      <c r="E56" s="194" t="s">
        <v>38</v>
      </c>
      <c r="F56" s="13"/>
      <c r="G56" s="208"/>
      <c r="H56" s="208"/>
      <c r="I56" s="208"/>
      <c r="J56" s="208"/>
      <c r="K56" s="192">
        <f t="shared" si="0"/>
        <v>0</v>
      </c>
      <c r="L56" s="192">
        <f t="shared" si="1"/>
        <v>0</v>
      </c>
      <c r="M56" s="192">
        <v>545.9</v>
      </c>
      <c r="N56" s="192">
        <f>+M56*1000/(41.5*10*16*60)*T56</f>
        <v>2.7404618473895583</v>
      </c>
      <c r="O56" s="192"/>
      <c r="P56" s="192">
        <f t="shared" si="2"/>
        <v>0</v>
      </c>
      <c r="Q56" s="192"/>
      <c r="R56" s="19">
        <f t="shared" si="3"/>
        <v>0</v>
      </c>
      <c r="S56" s="192">
        <f t="shared" si="4"/>
        <v>0</v>
      </c>
      <c r="T56" s="20">
        <v>2</v>
      </c>
      <c r="U56" s="20"/>
      <c r="V56" s="19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203" t="s">
        <v>67</v>
      </c>
      <c r="C57" s="239" t="s">
        <v>75</v>
      </c>
      <c r="D57" s="239" t="s">
        <v>76</v>
      </c>
      <c r="E57" s="42" t="s">
        <v>309</v>
      </c>
      <c r="F57" s="127"/>
      <c r="G57" s="208"/>
      <c r="H57" s="208"/>
      <c r="I57" s="208"/>
      <c r="J57" s="20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95">
        <v>300050</v>
      </c>
      <c r="B58" s="190" t="s">
        <v>67</v>
      </c>
      <c r="C58" s="226" t="s">
        <v>77</v>
      </c>
      <c r="D58" s="226" t="s">
        <v>78</v>
      </c>
      <c r="E58" s="194" t="s">
        <v>79</v>
      </c>
      <c r="F58" s="13"/>
      <c r="G58" s="208"/>
      <c r="H58" s="208"/>
      <c r="I58" s="208"/>
      <c r="J58" s="208"/>
      <c r="K58" s="192">
        <f t="shared" si="0"/>
        <v>0</v>
      </c>
      <c r="L58" s="192">
        <f t="shared" si="1"/>
        <v>0</v>
      </c>
      <c r="M58" s="192">
        <v>427.5</v>
      </c>
      <c r="N58" s="192">
        <f>+M58*1000/(45*10*14*60)*T58</f>
        <v>5.6547619047619051</v>
      </c>
      <c r="O58" s="192"/>
      <c r="P58" s="192">
        <f t="shared" si="2"/>
        <v>0</v>
      </c>
      <c r="Q58" s="192"/>
      <c r="R58" s="19">
        <f t="shared" si="3"/>
        <v>0</v>
      </c>
      <c r="S58" s="192">
        <f t="shared" si="4"/>
        <v>0</v>
      </c>
      <c r="T58" s="20">
        <v>5</v>
      </c>
      <c r="U58" s="20"/>
      <c r="V58" s="19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95">
        <v>300045</v>
      </c>
      <c r="B59" s="190" t="s">
        <v>67</v>
      </c>
      <c r="C59" s="226" t="s">
        <v>77</v>
      </c>
      <c r="D59" s="226" t="s">
        <v>78</v>
      </c>
      <c r="E59" s="194" t="s">
        <v>35</v>
      </c>
      <c r="F59" s="13"/>
      <c r="G59" s="208"/>
      <c r="H59" s="208"/>
      <c r="I59" s="208"/>
      <c r="J59" s="208"/>
      <c r="K59" s="192">
        <f t="shared" si="0"/>
        <v>0</v>
      </c>
      <c r="L59" s="192">
        <f t="shared" si="1"/>
        <v>0</v>
      </c>
      <c r="M59" s="15">
        <v>406.6</v>
      </c>
      <c r="N59" s="192">
        <f>+M59*1000/(45*10*13*60)*T59</f>
        <v>5.7920227920227916</v>
      </c>
      <c r="O59" s="192"/>
      <c r="P59" s="192">
        <f t="shared" si="2"/>
        <v>0</v>
      </c>
      <c r="Q59" s="192"/>
      <c r="R59" s="19">
        <f t="shared" si="3"/>
        <v>0</v>
      </c>
      <c r="S59" s="192">
        <f t="shared" si="4"/>
        <v>0</v>
      </c>
      <c r="T59" s="20">
        <v>5</v>
      </c>
      <c r="U59" s="20"/>
      <c r="V59" s="19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95">
        <v>300422</v>
      </c>
      <c r="B60" s="190" t="s">
        <v>67</v>
      </c>
      <c r="C60" s="237" t="s">
        <v>301</v>
      </c>
      <c r="D60" s="238"/>
      <c r="E60" s="194" t="s">
        <v>54</v>
      </c>
      <c r="F60" s="13"/>
      <c r="G60" s="208"/>
      <c r="H60" s="208"/>
      <c r="I60" s="208"/>
      <c r="J60" s="208"/>
      <c r="K60" s="192">
        <f t="shared" si="0"/>
        <v>0</v>
      </c>
      <c r="L60" s="192">
        <f t="shared" si="1"/>
        <v>0</v>
      </c>
      <c r="M60" s="15">
        <v>429.8</v>
      </c>
      <c r="N60" s="192">
        <f>+M60*1000/(45*10*13*60)*T60</f>
        <v>3.6735042735042738</v>
      </c>
      <c r="O60" s="192"/>
      <c r="P60" s="192">
        <f t="shared" si="2"/>
        <v>0</v>
      </c>
      <c r="Q60" s="192"/>
      <c r="R60" s="19">
        <f t="shared" si="3"/>
        <v>0</v>
      </c>
      <c r="S60" s="192">
        <f t="shared" si="4"/>
        <v>0</v>
      </c>
      <c r="T60" s="20">
        <v>3</v>
      </c>
      <c r="U60" s="20"/>
      <c r="V60" s="198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95">
        <v>300421</v>
      </c>
      <c r="B61" s="190" t="s">
        <v>67</v>
      </c>
      <c r="C61" s="237" t="s">
        <v>301</v>
      </c>
      <c r="D61" s="238"/>
      <c r="E61" s="194" t="s">
        <v>80</v>
      </c>
      <c r="F61" s="13"/>
      <c r="G61" s="208"/>
      <c r="H61" s="208"/>
      <c r="I61" s="208"/>
      <c r="J61" s="208"/>
      <c r="K61" s="192">
        <f t="shared" si="0"/>
        <v>0</v>
      </c>
      <c r="L61" s="192">
        <f t="shared" si="1"/>
        <v>0</v>
      </c>
      <c r="M61" s="15">
        <v>429.8</v>
      </c>
      <c r="N61" s="192">
        <f>+M61*1000/(45*10*13*60)*T61</f>
        <v>3.6735042735042738</v>
      </c>
      <c r="O61" s="192"/>
      <c r="P61" s="192">
        <f t="shared" si="2"/>
        <v>0</v>
      </c>
      <c r="Q61" s="192"/>
      <c r="R61" s="19">
        <f t="shared" si="3"/>
        <v>0</v>
      </c>
      <c r="S61" s="192">
        <f t="shared" si="4"/>
        <v>0</v>
      </c>
      <c r="T61" s="20">
        <v>3</v>
      </c>
      <c r="U61" s="20"/>
      <c r="V61" s="198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95">
        <v>300149</v>
      </c>
      <c r="B62" s="190" t="s">
        <v>67</v>
      </c>
      <c r="C62" s="226" t="s">
        <v>81</v>
      </c>
      <c r="D62" s="226" t="s">
        <v>82</v>
      </c>
      <c r="E62" s="194" t="s">
        <v>80</v>
      </c>
      <c r="F62" s="13"/>
      <c r="G62" s="208"/>
      <c r="H62" s="208"/>
      <c r="I62" s="208"/>
      <c r="J62" s="208"/>
      <c r="K62" s="192">
        <f t="shared" si="0"/>
        <v>0</v>
      </c>
      <c r="L62" s="192">
        <f t="shared" si="1"/>
        <v>0</v>
      </c>
      <c r="M62" s="192">
        <v>589.1</v>
      </c>
      <c r="N62" s="192">
        <f>+M62*1000/(67.1*10*13*60)*T62</f>
        <v>3.3767052619511633</v>
      </c>
      <c r="O62" s="192"/>
      <c r="P62" s="192">
        <f t="shared" si="2"/>
        <v>0</v>
      </c>
      <c r="Q62" s="192"/>
      <c r="R62" s="19">
        <f t="shared" si="3"/>
        <v>0</v>
      </c>
      <c r="S62" s="192">
        <f t="shared" si="4"/>
        <v>0</v>
      </c>
      <c r="T62" s="20">
        <v>3</v>
      </c>
      <c r="U62" s="20"/>
      <c r="V62" s="19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95">
        <v>300150</v>
      </c>
      <c r="B63" s="190" t="s">
        <v>67</v>
      </c>
      <c r="C63" s="226" t="s">
        <v>81</v>
      </c>
      <c r="D63" s="226" t="s">
        <v>82</v>
      </c>
      <c r="E63" s="194" t="s">
        <v>54</v>
      </c>
      <c r="F63" s="13"/>
      <c r="G63" s="208"/>
      <c r="H63" s="208"/>
      <c r="I63" s="208"/>
      <c r="J63" s="208"/>
      <c r="K63" s="192">
        <f t="shared" si="0"/>
        <v>0</v>
      </c>
      <c r="L63" s="192">
        <f t="shared" si="1"/>
        <v>0</v>
      </c>
      <c r="M63" s="192">
        <v>589.1</v>
      </c>
      <c r="N63" s="192">
        <f>+M63*1000/(67.1*10*13*60)*T63</f>
        <v>3.3767052619511633</v>
      </c>
      <c r="O63" s="192"/>
      <c r="P63" s="192">
        <f t="shared" si="2"/>
        <v>0</v>
      </c>
      <c r="Q63" s="192"/>
      <c r="R63" s="19">
        <f t="shared" si="3"/>
        <v>0</v>
      </c>
      <c r="S63" s="192">
        <f t="shared" si="4"/>
        <v>0</v>
      </c>
      <c r="T63" s="20">
        <v>3</v>
      </c>
      <c r="U63" s="20"/>
      <c r="V63" s="19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95">
        <v>300330</v>
      </c>
      <c r="B64" s="190" t="s">
        <v>67</v>
      </c>
      <c r="C64" s="237" t="s">
        <v>83</v>
      </c>
      <c r="D64" s="238"/>
      <c r="E64" s="194" t="s">
        <v>84</v>
      </c>
      <c r="F64" s="13"/>
      <c r="G64" s="208"/>
      <c r="H64" s="208"/>
      <c r="I64" s="208"/>
      <c r="J64" s="208"/>
      <c r="K64" s="192">
        <f t="shared" si="0"/>
        <v>0</v>
      </c>
      <c r="L64" s="192">
        <f t="shared" si="1"/>
        <v>0</v>
      </c>
      <c r="M64" s="192">
        <v>416.3</v>
      </c>
      <c r="N64" s="192">
        <f t="shared" ref="N64:N70" si="6">+M64*1000/(45*10*18*60)*T64</f>
        <v>1.7131687242798355</v>
      </c>
      <c r="O64" s="192"/>
      <c r="P64" s="192">
        <f t="shared" si="2"/>
        <v>0</v>
      </c>
      <c r="Q64" s="192"/>
      <c r="R64" s="19">
        <f t="shared" si="3"/>
        <v>0</v>
      </c>
      <c r="S64" s="192">
        <f t="shared" si="4"/>
        <v>0</v>
      </c>
      <c r="T64" s="20">
        <v>2</v>
      </c>
      <c r="U64" s="20"/>
      <c r="V64" s="19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95">
        <v>300331</v>
      </c>
      <c r="B65" s="190" t="s">
        <v>67</v>
      </c>
      <c r="C65" s="237" t="s">
        <v>83</v>
      </c>
      <c r="D65" s="238"/>
      <c r="E65" s="194" t="s">
        <v>49</v>
      </c>
      <c r="F65" s="13"/>
      <c r="G65" s="208"/>
      <c r="H65" s="208"/>
      <c r="I65" s="208"/>
      <c r="J65" s="208"/>
      <c r="K65" s="192">
        <f t="shared" si="0"/>
        <v>0</v>
      </c>
      <c r="L65" s="192">
        <f t="shared" si="1"/>
        <v>0</v>
      </c>
      <c r="M65" s="192">
        <v>416.3</v>
      </c>
      <c r="N65" s="192">
        <f t="shared" si="6"/>
        <v>1.7131687242798355</v>
      </c>
      <c r="O65" s="192"/>
      <c r="P65" s="192">
        <f t="shared" si="2"/>
        <v>0</v>
      </c>
      <c r="Q65" s="192"/>
      <c r="R65" s="19">
        <f t="shared" si="3"/>
        <v>0</v>
      </c>
      <c r="S65" s="192">
        <f t="shared" si="4"/>
        <v>0</v>
      </c>
      <c r="T65" s="20">
        <v>2</v>
      </c>
      <c r="U65" s="20"/>
      <c r="V65" s="198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95">
        <v>300332</v>
      </c>
      <c r="B66" s="190" t="s">
        <v>67</v>
      </c>
      <c r="C66" s="237" t="s">
        <v>83</v>
      </c>
      <c r="D66" s="238"/>
      <c r="E66" s="194" t="s">
        <v>85</v>
      </c>
      <c r="F66" s="13"/>
      <c r="G66" s="208"/>
      <c r="H66" s="208"/>
      <c r="I66" s="208"/>
      <c r="J66" s="208"/>
      <c r="K66" s="192">
        <f t="shared" si="0"/>
        <v>0</v>
      </c>
      <c r="L66" s="192">
        <f t="shared" si="1"/>
        <v>0</v>
      </c>
      <c r="M66" s="192">
        <v>416.3</v>
      </c>
      <c r="N66" s="192">
        <f t="shared" si="6"/>
        <v>1.7131687242798355</v>
      </c>
      <c r="O66" s="192"/>
      <c r="P66" s="192">
        <f t="shared" si="2"/>
        <v>0</v>
      </c>
      <c r="Q66" s="192"/>
      <c r="R66" s="19">
        <f t="shared" si="3"/>
        <v>0</v>
      </c>
      <c r="S66" s="192">
        <f t="shared" si="4"/>
        <v>0</v>
      </c>
      <c r="T66" s="20">
        <v>2</v>
      </c>
      <c r="U66" s="20"/>
      <c r="V66" s="198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95">
        <v>300333</v>
      </c>
      <c r="B67" s="190" t="s">
        <v>67</v>
      </c>
      <c r="C67" s="237" t="s">
        <v>86</v>
      </c>
      <c r="D67" s="238"/>
      <c r="E67" s="194" t="s">
        <v>84</v>
      </c>
      <c r="F67" s="13"/>
      <c r="G67" s="208"/>
      <c r="H67" s="208"/>
      <c r="I67" s="208"/>
      <c r="J67" s="208"/>
      <c r="K67" s="192">
        <f t="shared" si="0"/>
        <v>0</v>
      </c>
      <c r="L67" s="192">
        <f t="shared" si="1"/>
        <v>0</v>
      </c>
      <c r="M67" s="192">
        <v>416.3</v>
      </c>
      <c r="N67" s="192">
        <f t="shared" si="6"/>
        <v>1.7131687242798355</v>
      </c>
      <c r="O67" s="192"/>
      <c r="P67" s="192">
        <f t="shared" si="2"/>
        <v>0</v>
      </c>
      <c r="Q67" s="192"/>
      <c r="R67" s="19">
        <f t="shared" si="3"/>
        <v>0</v>
      </c>
      <c r="S67" s="192">
        <f t="shared" si="4"/>
        <v>0</v>
      </c>
      <c r="T67" s="20">
        <v>2</v>
      </c>
      <c r="U67" s="20"/>
      <c r="V67" s="198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95">
        <v>300334</v>
      </c>
      <c r="B68" s="190" t="s">
        <v>67</v>
      </c>
      <c r="C68" s="237" t="s">
        <v>86</v>
      </c>
      <c r="D68" s="238"/>
      <c r="E68" s="194" t="s">
        <v>85</v>
      </c>
      <c r="F68" s="13"/>
      <c r="G68" s="208"/>
      <c r="H68" s="208"/>
      <c r="I68" s="208"/>
      <c r="J68" s="208"/>
      <c r="K68" s="192">
        <f t="shared" si="0"/>
        <v>0</v>
      </c>
      <c r="L68" s="192">
        <f t="shared" si="1"/>
        <v>0</v>
      </c>
      <c r="M68" s="192">
        <v>416.3</v>
      </c>
      <c r="N68" s="192">
        <f t="shared" si="6"/>
        <v>1.7131687242798355</v>
      </c>
      <c r="O68" s="192"/>
      <c r="P68" s="192">
        <f t="shared" si="2"/>
        <v>0</v>
      </c>
      <c r="Q68" s="192"/>
      <c r="R68" s="19">
        <f t="shared" si="3"/>
        <v>0</v>
      </c>
      <c r="S68" s="192">
        <f t="shared" si="4"/>
        <v>0</v>
      </c>
      <c r="T68" s="20">
        <v>2</v>
      </c>
      <c r="U68" s="20"/>
      <c r="V68" s="198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95">
        <v>300335</v>
      </c>
      <c r="B69" s="190" t="s">
        <v>67</v>
      </c>
      <c r="C69" s="237" t="s">
        <v>86</v>
      </c>
      <c r="D69" s="238"/>
      <c r="E69" s="194" t="s">
        <v>49</v>
      </c>
      <c r="F69" s="13"/>
      <c r="G69" s="208"/>
      <c r="H69" s="208"/>
      <c r="I69" s="208"/>
      <c r="J69" s="208"/>
      <c r="K69" s="192">
        <f t="shared" si="0"/>
        <v>0</v>
      </c>
      <c r="L69" s="192">
        <f t="shared" si="1"/>
        <v>0</v>
      </c>
      <c r="M69" s="192">
        <v>416.3</v>
      </c>
      <c r="N69" s="192">
        <f t="shared" si="6"/>
        <v>1.7131687242798355</v>
      </c>
      <c r="O69" s="192"/>
      <c r="P69" s="192">
        <f t="shared" si="2"/>
        <v>0</v>
      </c>
      <c r="Q69" s="192"/>
      <c r="R69" s="19">
        <f t="shared" si="3"/>
        <v>0</v>
      </c>
      <c r="S69" s="192">
        <f t="shared" si="4"/>
        <v>0</v>
      </c>
      <c r="T69" s="20">
        <v>2</v>
      </c>
      <c r="U69" s="20"/>
      <c r="V69" s="198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95">
        <v>300291</v>
      </c>
      <c r="B70" s="190" t="s">
        <v>87</v>
      </c>
      <c r="C70" s="226" t="s">
        <v>88</v>
      </c>
      <c r="D70" s="226" t="s">
        <v>89</v>
      </c>
      <c r="E70" s="194" t="s">
        <v>42</v>
      </c>
      <c r="F70" s="13"/>
      <c r="G70" s="208"/>
      <c r="H70" s="208"/>
      <c r="I70" s="208"/>
      <c r="J70" s="208"/>
      <c r="K70" s="192">
        <f t="shared" si="0"/>
        <v>0</v>
      </c>
      <c r="L70" s="192">
        <f t="shared" si="1"/>
        <v>0</v>
      </c>
      <c r="M70" s="192">
        <v>517.79999999999995</v>
      </c>
      <c r="N70" s="192">
        <f t="shared" si="6"/>
        <v>4.261728395061728</v>
      </c>
      <c r="O70" s="192"/>
      <c r="P70" s="192">
        <f t="shared" si="2"/>
        <v>0</v>
      </c>
      <c r="Q70" s="192"/>
      <c r="R70" s="19">
        <f t="shared" si="3"/>
        <v>0</v>
      </c>
      <c r="S70" s="192">
        <f t="shared" si="4"/>
        <v>0</v>
      </c>
      <c r="T70" s="20">
        <v>4</v>
      </c>
      <c r="U70" s="20"/>
      <c r="V70" s="19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95">
        <v>300292</v>
      </c>
      <c r="B71" s="190" t="s">
        <v>87</v>
      </c>
      <c r="C71" s="226" t="s">
        <v>88</v>
      </c>
      <c r="D71" s="226" t="s">
        <v>89</v>
      </c>
      <c r="E71" s="194" t="s">
        <v>41</v>
      </c>
      <c r="F71" s="13"/>
      <c r="G71" s="208"/>
      <c r="H71" s="208"/>
      <c r="I71" s="208"/>
      <c r="J71" s="208"/>
      <c r="K71" s="192">
        <f t="shared" si="0"/>
        <v>0</v>
      </c>
      <c r="L71" s="192">
        <f t="shared" si="1"/>
        <v>0</v>
      </c>
      <c r="M71" s="192">
        <v>517.79999999999995</v>
      </c>
      <c r="N71" s="192">
        <f>+M71*1000/(66.8*1*110*60)*T71</f>
        <v>4.6978769733260748</v>
      </c>
      <c r="O71" s="192"/>
      <c r="P71" s="192">
        <f t="shared" si="2"/>
        <v>0</v>
      </c>
      <c r="Q71" s="192"/>
      <c r="R71" s="19">
        <f t="shared" si="3"/>
        <v>0</v>
      </c>
      <c r="S71" s="192">
        <f t="shared" si="4"/>
        <v>0</v>
      </c>
      <c r="T71" s="20">
        <v>4</v>
      </c>
      <c r="U71" s="20"/>
      <c r="V71" s="19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95">
        <v>300293</v>
      </c>
      <c r="B72" s="190" t="s">
        <v>87</v>
      </c>
      <c r="C72" s="226" t="s">
        <v>88</v>
      </c>
      <c r="D72" s="226" t="s">
        <v>89</v>
      </c>
      <c r="E72" s="194" t="s">
        <v>57</v>
      </c>
      <c r="F72" s="13"/>
      <c r="G72" s="208"/>
      <c r="H72" s="208"/>
      <c r="I72" s="208"/>
      <c r="J72" s="208"/>
      <c r="K72" s="192">
        <f t="shared" si="0"/>
        <v>0</v>
      </c>
      <c r="L72" s="192">
        <f t="shared" si="1"/>
        <v>0</v>
      </c>
      <c r="M72" s="192">
        <v>517.9</v>
      </c>
      <c r="N72" s="192">
        <f>+M72*1000/(67.1*1*110*60)*T72</f>
        <v>4.6777762724111467</v>
      </c>
      <c r="O72" s="192"/>
      <c r="P72" s="192">
        <f t="shared" si="2"/>
        <v>0</v>
      </c>
      <c r="Q72" s="192"/>
      <c r="R72" s="19">
        <f t="shared" si="3"/>
        <v>0</v>
      </c>
      <c r="S72" s="192">
        <f t="shared" si="4"/>
        <v>0</v>
      </c>
      <c r="T72" s="20">
        <v>4</v>
      </c>
      <c r="U72" s="20"/>
      <c r="V72" s="19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95">
        <v>300290</v>
      </c>
      <c r="B73" s="190" t="s">
        <v>87</v>
      </c>
      <c r="C73" s="226" t="s">
        <v>88</v>
      </c>
      <c r="D73" s="226" t="s">
        <v>89</v>
      </c>
      <c r="E73" s="194" t="s">
        <v>35</v>
      </c>
      <c r="F73" s="13"/>
      <c r="G73" s="208"/>
      <c r="H73" s="208"/>
      <c r="I73" s="208"/>
      <c r="J73" s="208"/>
      <c r="K73" s="192">
        <f t="shared" si="0"/>
        <v>0</v>
      </c>
      <c r="L73" s="192">
        <f t="shared" si="1"/>
        <v>0</v>
      </c>
      <c r="M73" s="192">
        <v>520</v>
      </c>
      <c r="N73" s="192">
        <f>+M73*1000/(67.5*1*110*60)*T73</f>
        <v>4.6689113355780023</v>
      </c>
      <c r="O73" s="192"/>
      <c r="P73" s="192">
        <f t="shared" si="2"/>
        <v>0</v>
      </c>
      <c r="Q73" s="192"/>
      <c r="R73" s="19">
        <f t="shared" si="3"/>
        <v>0</v>
      </c>
      <c r="S73" s="192">
        <f t="shared" si="4"/>
        <v>0</v>
      </c>
      <c r="T73" s="20">
        <v>4</v>
      </c>
      <c r="U73" s="20"/>
      <c r="V73" s="19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208"/>
      <c r="H74" s="208"/>
      <c r="I74" s="208"/>
      <c r="J74" s="208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95">
        <v>300058</v>
      </c>
      <c r="B75" s="190" t="s">
        <v>87</v>
      </c>
      <c r="C75" s="226" t="s">
        <v>91</v>
      </c>
      <c r="D75" s="226" t="s">
        <v>89</v>
      </c>
      <c r="E75" s="194" t="s">
        <v>42</v>
      </c>
      <c r="F75" s="13"/>
      <c r="G75" s="208"/>
      <c r="H75" s="208"/>
      <c r="I75" s="208"/>
      <c r="J75" s="208"/>
      <c r="K75" s="192">
        <f t="shared" si="0"/>
        <v>0</v>
      </c>
      <c r="L75" s="192">
        <f t="shared" si="1"/>
        <v>0</v>
      </c>
      <c r="M75" s="192">
        <v>419.2</v>
      </c>
      <c r="N75" s="192">
        <f>+M75*1000/(51.5*1*110*60)*T75</f>
        <v>4.9332156516622536</v>
      </c>
      <c r="O75" s="192"/>
      <c r="P75" s="192">
        <f t="shared" si="2"/>
        <v>0</v>
      </c>
      <c r="Q75" s="192"/>
      <c r="R75" s="19">
        <f t="shared" si="3"/>
        <v>0</v>
      </c>
      <c r="S75" s="192">
        <f t="shared" si="4"/>
        <v>0</v>
      </c>
      <c r="T75" s="20">
        <v>4</v>
      </c>
      <c r="U75" s="20"/>
      <c r="V75" s="19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95">
        <v>300061</v>
      </c>
      <c r="B76" s="190">
        <v>5001</v>
      </c>
      <c r="C76" s="226" t="s">
        <v>93</v>
      </c>
      <c r="D76" s="226" t="s">
        <v>94</v>
      </c>
      <c r="E76" s="194" t="s">
        <v>41</v>
      </c>
      <c r="F76" s="13"/>
      <c r="G76" s="208">
        <v>5</v>
      </c>
      <c r="H76" s="208"/>
      <c r="I76" s="208">
        <v>5</v>
      </c>
      <c r="J76" s="208"/>
      <c r="K76" s="192">
        <f t="shared" si="0"/>
        <v>2092</v>
      </c>
      <c r="L76" s="192">
        <f t="shared" si="1"/>
        <v>2092</v>
      </c>
      <c r="M76" s="192">
        <v>418.4</v>
      </c>
      <c r="N76" s="192">
        <f>+M76*1000/(51*1*110*60)*T76</f>
        <v>4.9720736779560308</v>
      </c>
      <c r="O76" s="192"/>
      <c r="P76" s="192">
        <f t="shared" si="2"/>
        <v>24.860368389780156</v>
      </c>
      <c r="Q76" s="192">
        <v>6</v>
      </c>
      <c r="R76" s="19">
        <f t="shared" si="3"/>
        <v>24</v>
      </c>
      <c r="S76" s="192">
        <f t="shared" si="4"/>
        <v>-0.86036838978015595</v>
      </c>
      <c r="T76" s="20">
        <v>4</v>
      </c>
      <c r="U76" s="20">
        <v>4</v>
      </c>
      <c r="V76" s="198">
        <f t="array" ref="V76">IF(ISERROR(L76/K76),"",L76/K76)</f>
        <v>1</v>
      </c>
      <c r="W76" s="20"/>
      <c r="X76" s="20"/>
      <c r="Y76" s="20"/>
      <c r="Z76" s="20"/>
      <c r="AA76" s="20">
        <v>2</v>
      </c>
      <c r="AB76" s="20"/>
      <c r="AC76" s="20"/>
    </row>
    <row r="77" spans="1:29" ht="21.95" hidden="1" customHeight="1">
      <c r="A77" s="195">
        <v>300064</v>
      </c>
      <c r="B77" s="190">
        <v>5002</v>
      </c>
      <c r="C77" s="226" t="s">
        <v>95</v>
      </c>
      <c r="D77" s="226" t="s">
        <v>96</v>
      </c>
      <c r="E77" s="194" t="s">
        <v>35</v>
      </c>
      <c r="F77" s="13"/>
      <c r="G77" s="208"/>
      <c r="H77" s="208"/>
      <c r="I77" s="208"/>
      <c r="J77" s="208"/>
      <c r="K77" s="192">
        <f t="shared" ref="K77:K153" si="7">G77*M77</f>
        <v>0</v>
      </c>
      <c r="L77" s="192">
        <f t="shared" ref="L77:L153" si="8">I77*M77</f>
        <v>0</v>
      </c>
      <c r="M77" s="192">
        <v>419.2</v>
      </c>
      <c r="N77" s="192">
        <f>+M77*1000/(51.9*1*110*60)*T77</f>
        <v>4.8951947217843168</v>
      </c>
      <c r="O77" s="192"/>
      <c r="P77" s="192">
        <f t="shared" ref="P77:P153" si="9">N77*I77+O77*U77</f>
        <v>0</v>
      </c>
      <c r="Q77" s="192"/>
      <c r="R77" s="19">
        <f t="shared" ref="R77:R153" si="10">Q77*U77</f>
        <v>0</v>
      </c>
      <c r="S77" s="192">
        <f t="shared" ref="S77:S153" si="11">R77-P77</f>
        <v>0</v>
      </c>
      <c r="T77" s="20">
        <v>4</v>
      </c>
      <c r="U77" s="20"/>
      <c r="V77" s="19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95">
        <v>300060</v>
      </c>
      <c r="B78" s="190" t="s">
        <v>87</v>
      </c>
      <c r="C78" s="226" t="s">
        <v>93</v>
      </c>
      <c r="D78" s="226" t="s">
        <v>97</v>
      </c>
      <c r="E78" s="194" t="s">
        <v>57</v>
      </c>
      <c r="F78" s="13"/>
      <c r="G78" s="208"/>
      <c r="H78" s="208"/>
      <c r="I78" s="208"/>
      <c r="J78" s="208"/>
      <c r="K78" s="192">
        <f t="shared" si="7"/>
        <v>0</v>
      </c>
      <c r="L78" s="192">
        <f t="shared" si="8"/>
        <v>0</v>
      </c>
      <c r="M78" s="192">
        <v>416.9</v>
      </c>
      <c r="N78" s="192">
        <f>+M78*1000/(51*1*110*60)*T78</f>
        <v>4.9542483660130721</v>
      </c>
      <c r="O78" s="192"/>
      <c r="P78" s="192">
        <f t="shared" si="9"/>
        <v>0</v>
      </c>
      <c r="Q78" s="192"/>
      <c r="R78" s="19">
        <f t="shared" si="10"/>
        <v>0</v>
      </c>
      <c r="S78" s="192">
        <f t="shared" si="11"/>
        <v>0</v>
      </c>
      <c r="T78" s="20">
        <v>4</v>
      </c>
      <c r="U78" s="20"/>
      <c r="V78" s="19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95">
        <v>300068</v>
      </c>
      <c r="B79" s="190" t="s">
        <v>87</v>
      </c>
      <c r="C79" s="226" t="s">
        <v>98</v>
      </c>
      <c r="D79" s="226" t="s">
        <v>99</v>
      </c>
      <c r="E79" s="194" t="s">
        <v>37</v>
      </c>
      <c r="F79" s="13"/>
      <c r="G79" s="208"/>
      <c r="H79" s="208"/>
      <c r="I79" s="208"/>
      <c r="J79" s="208"/>
      <c r="K79" s="192">
        <f t="shared" si="7"/>
        <v>0</v>
      </c>
      <c r="L79" s="192">
        <f t="shared" si="8"/>
        <v>0</v>
      </c>
      <c r="M79" s="192">
        <v>438.4</v>
      </c>
      <c r="N79" s="192">
        <f>+M79*1000/(50*1*120*60)*T79</f>
        <v>4.8711111111111114</v>
      </c>
      <c r="O79" s="192"/>
      <c r="P79" s="192">
        <f t="shared" si="9"/>
        <v>0</v>
      </c>
      <c r="Q79" s="192"/>
      <c r="R79" s="19">
        <f t="shared" si="10"/>
        <v>0</v>
      </c>
      <c r="S79" s="192">
        <f t="shared" si="11"/>
        <v>0</v>
      </c>
      <c r="T79" s="20">
        <v>4</v>
      </c>
      <c r="U79" s="20"/>
      <c r="V79" s="19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95">
        <v>300065</v>
      </c>
      <c r="B80" s="190" t="s">
        <v>87</v>
      </c>
      <c r="C80" s="226" t="s">
        <v>98</v>
      </c>
      <c r="D80" s="226" t="s">
        <v>99</v>
      </c>
      <c r="E80" s="194" t="s">
        <v>35</v>
      </c>
      <c r="F80" s="13"/>
      <c r="G80" s="208"/>
      <c r="H80" s="208"/>
      <c r="I80" s="208"/>
      <c r="J80" s="208"/>
      <c r="K80" s="192">
        <f t="shared" si="7"/>
        <v>0</v>
      </c>
      <c r="L80" s="192">
        <f t="shared" si="8"/>
        <v>0</v>
      </c>
      <c r="M80" s="192">
        <v>438.8</v>
      </c>
      <c r="N80" s="192">
        <f>+M80*1000/(50*1*120*60)*T80</f>
        <v>4.8755555555555556</v>
      </c>
      <c r="O80" s="192"/>
      <c r="P80" s="192">
        <f t="shared" si="9"/>
        <v>0</v>
      </c>
      <c r="Q80" s="192"/>
      <c r="R80" s="19">
        <f t="shared" si="10"/>
        <v>0</v>
      </c>
      <c r="S80" s="192">
        <f t="shared" si="11"/>
        <v>0</v>
      </c>
      <c r="T80" s="20">
        <v>4</v>
      </c>
      <c r="U80" s="195"/>
      <c r="V80" s="19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95">
        <v>300066</v>
      </c>
      <c r="B81" s="190" t="s">
        <v>87</v>
      </c>
      <c r="C81" s="226" t="s">
        <v>98</v>
      </c>
      <c r="D81" s="226" t="s">
        <v>99</v>
      </c>
      <c r="E81" s="194" t="s">
        <v>66</v>
      </c>
      <c r="F81" s="13"/>
      <c r="G81" s="208"/>
      <c r="H81" s="208"/>
      <c r="I81" s="208"/>
      <c r="J81" s="208"/>
      <c r="K81" s="192">
        <f t="shared" si="7"/>
        <v>0</v>
      </c>
      <c r="L81" s="192">
        <f t="shared" si="8"/>
        <v>0</v>
      </c>
      <c r="M81" s="192">
        <v>438.4</v>
      </c>
      <c r="N81" s="192">
        <f>+M81*1000/(50*1*120*60)*T81</f>
        <v>4.8711111111111114</v>
      </c>
      <c r="O81" s="192"/>
      <c r="P81" s="192">
        <f t="shared" si="9"/>
        <v>0</v>
      </c>
      <c r="Q81" s="192"/>
      <c r="R81" s="19">
        <f t="shared" si="10"/>
        <v>0</v>
      </c>
      <c r="S81" s="192">
        <f t="shared" si="11"/>
        <v>0</v>
      </c>
      <c r="T81" s="20">
        <v>4</v>
      </c>
      <c r="U81" s="195"/>
      <c r="V81" s="198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95">
        <v>300067</v>
      </c>
      <c r="B82" s="190" t="s">
        <v>87</v>
      </c>
      <c r="C82" s="226" t="s">
        <v>98</v>
      </c>
      <c r="D82" s="226" t="s">
        <v>99</v>
      </c>
      <c r="E82" s="194" t="s">
        <v>41</v>
      </c>
      <c r="F82" s="13"/>
      <c r="G82" s="208"/>
      <c r="H82" s="208"/>
      <c r="I82" s="208"/>
      <c r="J82" s="208"/>
      <c r="K82" s="192">
        <f t="shared" si="7"/>
        <v>0</v>
      </c>
      <c r="L82" s="192">
        <f t="shared" si="8"/>
        <v>0</v>
      </c>
      <c r="M82" s="192">
        <v>438.8</v>
      </c>
      <c r="N82" s="192">
        <f>+M82*1000/(50*1*120*60)*T82</f>
        <v>4.8755555555555556</v>
      </c>
      <c r="O82" s="192"/>
      <c r="P82" s="192">
        <f t="shared" si="9"/>
        <v>0</v>
      </c>
      <c r="Q82" s="192"/>
      <c r="R82" s="19">
        <f t="shared" si="10"/>
        <v>0</v>
      </c>
      <c r="S82" s="192">
        <f t="shared" si="11"/>
        <v>0</v>
      </c>
      <c r="T82" s="20">
        <v>4</v>
      </c>
      <c r="U82" s="20"/>
      <c r="V82" s="19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203" t="s">
        <v>87</v>
      </c>
      <c r="C83" s="239" t="s">
        <v>98</v>
      </c>
      <c r="D83" s="239" t="s">
        <v>99</v>
      </c>
      <c r="E83" s="42" t="s">
        <v>310</v>
      </c>
      <c r="F83" s="127"/>
      <c r="G83" s="208"/>
      <c r="H83" s="208"/>
      <c r="I83" s="208"/>
      <c r="J83" s="20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95">
        <v>300384</v>
      </c>
      <c r="B84" s="190" t="s">
        <v>87</v>
      </c>
      <c r="C84" s="226" t="s">
        <v>100</v>
      </c>
      <c r="D84" s="226" t="s">
        <v>101</v>
      </c>
      <c r="E84" s="194" t="s">
        <v>35</v>
      </c>
      <c r="F84" s="196"/>
      <c r="G84" s="208"/>
      <c r="H84" s="208"/>
      <c r="I84" s="208"/>
      <c r="J84" s="208"/>
      <c r="K84" s="192">
        <f t="shared" si="7"/>
        <v>0</v>
      </c>
      <c r="L84" s="192">
        <f t="shared" si="8"/>
        <v>0</v>
      </c>
      <c r="M84" s="192">
        <v>415.5</v>
      </c>
      <c r="N84" s="15">
        <f>+M84*1000/(51*1*110*60)*T84</f>
        <v>8.6408199643493759</v>
      </c>
      <c r="O84" s="192"/>
      <c r="P84" s="192">
        <f t="shared" si="9"/>
        <v>0</v>
      </c>
      <c r="Q84" s="192"/>
      <c r="R84" s="19">
        <f t="shared" si="10"/>
        <v>0</v>
      </c>
      <c r="S84" s="192">
        <f t="shared" si="11"/>
        <v>0</v>
      </c>
      <c r="T84" s="20">
        <v>7</v>
      </c>
      <c r="U84" s="20"/>
      <c r="V84" s="19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95">
        <v>300383</v>
      </c>
      <c r="B85" s="190" t="s">
        <v>87</v>
      </c>
      <c r="C85" s="226" t="s">
        <v>100</v>
      </c>
      <c r="D85" s="226" t="s">
        <v>102</v>
      </c>
      <c r="E85" s="194" t="s">
        <v>41</v>
      </c>
      <c r="F85" s="196"/>
      <c r="G85" s="208"/>
      <c r="H85" s="208"/>
      <c r="I85" s="208"/>
      <c r="J85" s="208"/>
      <c r="K85" s="192">
        <f t="shared" si="7"/>
        <v>0</v>
      </c>
      <c r="L85" s="192">
        <f t="shared" si="8"/>
        <v>0</v>
      </c>
      <c r="M85" s="192">
        <v>415.5</v>
      </c>
      <c r="N85" s="15">
        <f>+M85*1000/(51*1*110*60)*T85</f>
        <v>8.6408199643493759</v>
      </c>
      <c r="O85" s="192"/>
      <c r="P85" s="192">
        <f t="shared" si="9"/>
        <v>0</v>
      </c>
      <c r="Q85" s="192"/>
      <c r="R85" s="19">
        <f t="shared" si="10"/>
        <v>0</v>
      </c>
      <c r="S85" s="192">
        <f t="shared" si="11"/>
        <v>0</v>
      </c>
      <c r="T85" s="20">
        <v>7</v>
      </c>
      <c r="U85" s="20"/>
      <c r="V85" s="198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95">
        <v>300386</v>
      </c>
      <c r="B86" s="190" t="s">
        <v>87</v>
      </c>
      <c r="C86" s="226" t="s">
        <v>100</v>
      </c>
      <c r="D86" s="226" t="s">
        <v>103</v>
      </c>
      <c r="E86" s="194" t="s">
        <v>66</v>
      </c>
      <c r="F86" s="196"/>
      <c r="G86" s="208"/>
      <c r="H86" s="208"/>
      <c r="I86" s="208"/>
      <c r="J86" s="208"/>
      <c r="K86" s="192">
        <f t="shared" si="7"/>
        <v>0</v>
      </c>
      <c r="L86" s="192">
        <f t="shared" si="8"/>
        <v>0</v>
      </c>
      <c r="M86" s="192">
        <v>415.5</v>
      </c>
      <c r="N86" s="15">
        <f>+M86*1000/(51*1*110*60)*T86</f>
        <v>8.6408199643493759</v>
      </c>
      <c r="O86" s="192"/>
      <c r="P86" s="192">
        <f t="shared" si="9"/>
        <v>0</v>
      </c>
      <c r="Q86" s="192"/>
      <c r="R86" s="19">
        <f t="shared" si="10"/>
        <v>0</v>
      </c>
      <c r="S86" s="192">
        <f t="shared" si="11"/>
        <v>0</v>
      </c>
      <c r="T86" s="20">
        <v>7</v>
      </c>
      <c r="U86" s="20"/>
      <c r="V86" s="198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95">
        <v>300385</v>
      </c>
      <c r="B87" s="190" t="s">
        <v>87</v>
      </c>
      <c r="C87" s="226" t="s">
        <v>100</v>
      </c>
      <c r="D87" s="226" t="s">
        <v>104</v>
      </c>
      <c r="E87" s="194" t="s">
        <v>105</v>
      </c>
      <c r="F87" s="196"/>
      <c r="G87" s="208"/>
      <c r="H87" s="208"/>
      <c r="I87" s="208"/>
      <c r="J87" s="208"/>
      <c r="K87" s="192">
        <f t="shared" si="7"/>
        <v>0</v>
      </c>
      <c r="L87" s="192">
        <f t="shared" si="8"/>
        <v>0</v>
      </c>
      <c r="M87" s="192">
        <v>415.5</v>
      </c>
      <c r="N87" s="15">
        <f>+M87*1000/(51*1*110*60)*T87</f>
        <v>8.6408199643493759</v>
      </c>
      <c r="O87" s="192"/>
      <c r="P87" s="192">
        <f t="shared" si="9"/>
        <v>0</v>
      </c>
      <c r="Q87" s="192"/>
      <c r="R87" s="19">
        <f t="shared" si="10"/>
        <v>0</v>
      </c>
      <c r="S87" s="192">
        <f t="shared" si="11"/>
        <v>0</v>
      </c>
      <c r="T87" s="20">
        <v>7</v>
      </c>
      <c r="U87" s="20"/>
      <c r="V87" s="198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95">
        <v>300352</v>
      </c>
      <c r="B88" s="190" t="s">
        <v>87</v>
      </c>
      <c r="C88" s="226" t="s">
        <v>106</v>
      </c>
      <c r="D88" s="226" t="s">
        <v>101</v>
      </c>
      <c r="E88" s="194" t="s">
        <v>35</v>
      </c>
      <c r="F88" s="13"/>
      <c r="G88" s="208"/>
      <c r="H88" s="208"/>
      <c r="I88" s="208"/>
      <c r="J88" s="208"/>
      <c r="K88" s="192">
        <f t="shared" si="7"/>
        <v>0</v>
      </c>
      <c r="L88" s="192">
        <f t="shared" si="8"/>
        <v>0</v>
      </c>
      <c r="M88" s="192">
        <v>515.9</v>
      </c>
      <c r="N88" s="192">
        <f>+M88*1000/(80*1*110*60)*T88</f>
        <v>6.8395833333333336</v>
      </c>
      <c r="O88" s="192"/>
      <c r="P88" s="192">
        <f t="shared" si="9"/>
        <v>0</v>
      </c>
      <c r="Q88" s="192"/>
      <c r="R88" s="19">
        <f t="shared" si="10"/>
        <v>0</v>
      </c>
      <c r="S88" s="192">
        <f t="shared" si="11"/>
        <v>0</v>
      </c>
      <c r="T88" s="20">
        <v>7</v>
      </c>
      <c r="U88" s="20"/>
      <c r="V88" s="19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95">
        <v>300353</v>
      </c>
      <c r="B89" s="190" t="s">
        <v>87</v>
      </c>
      <c r="C89" s="226" t="s">
        <v>106</v>
      </c>
      <c r="D89" s="226" t="s">
        <v>101</v>
      </c>
      <c r="E89" s="194" t="s">
        <v>105</v>
      </c>
      <c r="F89" s="13"/>
      <c r="G89" s="208"/>
      <c r="H89" s="208"/>
      <c r="I89" s="208"/>
      <c r="J89" s="208"/>
      <c r="K89" s="192">
        <f t="shared" si="7"/>
        <v>0</v>
      </c>
      <c r="L89" s="192">
        <f t="shared" si="8"/>
        <v>0</v>
      </c>
      <c r="M89" s="192">
        <v>515.9</v>
      </c>
      <c r="N89" s="192">
        <f>+M89*1000/(80*1*110*60)*T89</f>
        <v>6.8395833333333336</v>
      </c>
      <c r="O89" s="192"/>
      <c r="P89" s="192">
        <f t="shared" si="9"/>
        <v>0</v>
      </c>
      <c r="Q89" s="192"/>
      <c r="R89" s="19">
        <f t="shared" si="10"/>
        <v>0</v>
      </c>
      <c r="S89" s="192">
        <f t="shared" si="11"/>
        <v>0</v>
      </c>
      <c r="T89" s="20">
        <v>7</v>
      </c>
      <c r="U89" s="20"/>
      <c r="V89" s="19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95">
        <v>300351</v>
      </c>
      <c r="B90" s="190" t="s">
        <v>87</v>
      </c>
      <c r="C90" s="226" t="s">
        <v>106</v>
      </c>
      <c r="D90" s="226" t="s">
        <v>101</v>
      </c>
      <c r="E90" s="194" t="s">
        <v>41</v>
      </c>
      <c r="F90" s="13"/>
      <c r="G90" s="208"/>
      <c r="H90" s="208"/>
      <c r="I90" s="208"/>
      <c r="J90" s="208"/>
      <c r="K90" s="192">
        <f t="shared" si="7"/>
        <v>0</v>
      </c>
      <c r="L90" s="192">
        <f t="shared" si="8"/>
        <v>0</v>
      </c>
      <c r="M90" s="192">
        <v>515.9</v>
      </c>
      <c r="N90" s="192">
        <f>+M90*1000/(80*1*110*60)*T90</f>
        <v>6.8395833333333336</v>
      </c>
      <c r="O90" s="192"/>
      <c r="P90" s="192">
        <f t="shared" si="9"/>
        <v>0</v>
      </c>
      <c r="Q90" s="192"/>
      <c r="R90" s="19">
        <f t="shared" si="10"/>
        <v>0</v>
      </c>
      <c r="S90" s="192">
        <f t="shared" si="11"/>
        <v>0</v>
      </c>
      <c r="T90" s="20">
        <v>7</v>
      </c>
      <c r="U90" s="20"/>
      <c r="V90" s="19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95">
        <v>300354</v>
      </c>
      <c r="B91" s="190" t="s">
        <v>87</v>
      </c>
      <c r="C91" s="226" t="s">
        <v>106</v>
      </c>
      <c r="D91" s="226" t="s">
        <v>101</v>
      </c>
      <c r="E91" s="194" t="s">
        <v>66</v>
      </c>
      <c r="F91" s="13"/>
      <c r="G91" s="208"/>
      <c r="H91" s="208"/>
      <c r="I91" s="208"/>
      <c r="J91" s="208"/>
      <c r="K91" s="192">
        <f t="shared" si="7"/>
        <v>0</v>
      </c>
      <c r="L91" s="192">
        <f t="shared" si="8"/>
        <v>0</v>
      </c>
      <c r="M91" s="192">
        <v>515.9</v>
      </c>
      <c r="N91" s="192">
        <f>+M91*1000/(80*1*110*60)*T91</f>
        <v>6.8395833333333336</v>
      </c>
      <c r="O91" s="192"/>
      <c r="P91" s="192">
        <f t="shared" si="9"/>
        <v>0</v>
      </c>
      <c r="Q91" s="192"/>
      <c r="R91" s="19">
        <f t="shared" si="10"/>
        <v>0</v>
      </c>
      <c r="S91" s="192">
        <f t="shared" si="11"/>
        <v>0</v>
      </c>
      <c r="T91" s="20">
        <v>7</v>
      </c>
      <c r="U91" s="20"/>
      <c r="V91" s="19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95">
        <v>300250</v>
      </c>
      <c r="B92" s="190" t="s">
        <v>87</v>
      </c>
      <c r="C92" s="226" t="s">
        <v>107</v>
      </c>
      <c r="D92" s="226" t="s">
        <v>101</v>
      </c>
      <c r="E92" s="194" t="s">
        <v>35</v>
      </c>
      <c r="F92" s="13"/>
      <c r="G92" s="208"/>
      <c r="H92" s="208"/>
      <c r="I92" s="208"/>
      <c r="J92" s="208"/>
      <c r="K92" s="192">
        <f t="shared" si="7"/>
        <v>0</v>
      </c>
      <c r="L92" s="192">
        <f t="shared" si="8"/>
        <v>0</v>
      </c>
      <c r="M92" s="192">
        <v>412.5</v>
      </c>
      <c r="N92" s="192">
        <f>+M92*1000/(84*1*110*60)*T92</f>
        <v>5.2083333333333339</v>
      </c>
      <c r="O92" s="192"/>
      <c r="P92" s="192">
        <f t="shared" si="9"/>
        <v>0</v>
      </c>
      <c r="Q92" s="192"/>
      <c r="R92" s="19">
        <f t="shared" si="10"/>
        <v>0</v>
      </c>
      <c r="S92" s="192">
        <f t="shared" si="11"/>
        <v>0</v>
      </c>
      <c r="T92" s="20">
        <v>7</v>
      </c>
      <c r="U92" s="20"/>
      <c r="V92" s="19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95">
        <v>300251</v>
      </c>
      <c r="B93" s="190" t="s">
        <v>87</v>
      </c>
      <c r="C93" s="226" t="s">
        <v>107</v>
      </c>
      <c r="D93" s="226" t="s">
        <v>101</v>
      </c>
      <c r="E93" s="194" t="s">
        <v>105</v>
      </c>
      <c r="F93" s="13"/>
      <c r="G93" s="208"/>
      <c r="H93" s="208"/>
      <c r="I93" s="208"/>
      <c r="J93" s="208"/>
      <c r="K93" s="192">
        <f t="shared" si="7"/>
        <v>0</v>
      </c>
      <c r="L93" s="192">
        <f t="shared" si="8"/>
        <v>0</v>
      </c>
      <c r="M93" s="192">
        <v>412.5</v>
      </c>
      <c r="N93" s="192">
        <f>+M93*1000/(84*1*110*60)*T93</f>
        <v>5.2083333333333339</v>
      </c>
      <c r="O93" s="192"/>
      <c r="P93" s="192">
        <f t="shared" si="9"/>
        <v>0</v>
      </c>
      <c r="Q93" s="192"/>
      <c r="R93" s="19">
        <f t="shared" si="10"/>
        <v>0</v>
      </c>
      <c r="S93" s="192">
        <f t="shared" si="11"/>
        <v>0</v>
      </c>
      <c r="T93" s="20">
        <v>7</v>
      </c>
      <c r="U93" s="20"/>
      <c r="V93" s="19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95">
        <v>300254</v>
      </c>
      <c r="B94" s="190" t="s">
        <v>87</v>
      </c>
      <c r="C94" s="226" t="s">
        <v>107</v>
      </c>
      <c r="D94" s="226" t="s">
        <v>101</v>
      </c>
      <c r="E94" s="194" t="s">
        <v>41</v>
      </c>
      <c r="F94" s="13"/>
      <c r="G94" s="208"/>
      <c r="H94" s="208"/>
      <c r="I94" s="208"/>
      <c r="J94" s="208"/>
      <c r="K94" s="192">
        <f t="shared" si="7"/>
        <v>0</v>
      </c>
      <c r="L94" s="192">
        <f t="shared" si="8"/>
        <v>0</v>
      </c>
      <c r="M94" s="192">
        <v>412.5</v>
      </c>
      <c r="N94" s="192">
        <f>+M94*1000/(84*1*110*60)*T94</f>
        <v>5.2083333333333339</v>
      </c>
      <c r="O94" s="192"/>
      <c r="P94" s="192">
        <f t="shared" si="9"/>
        <v>0</v>
      </c>
      <c r="Q94" s="192"/>
      <c r="R94" s="19">
        <f t="shared" si="10"/>
        <v>0</v>
      </c>
      <c r="S94" s="192">
        <f t="shared" si="11"/>
        <v>0</v>
      </c>
      <c r="T94" s="20">
        <v>7</v>
      </c>
      <c r="U94" s="20"/>
      <c r="V94" s="19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95">
        <v>300253</v>
      </c>
      <c r="B95" s="190" t="s">
        <v>87</v>
      </c>
      <c r="C95" s="226" t="s">
        <v>107</v>
      </c>
      <c r="D95" s="226" t="s">
        <v>101</v>
      </c>
      <c r="E95" s="194" t="s">
        <v>66</v>
      </c>
      <c r="F95" s="13"/>
      <c r="G95" s="208"/>
      <c r="H95" s="208"/>
      <c r="I95" s="208"/>
      <c r="J95" s="208"/>
      <c r="K95" s="192">
        <f t="shared" si="7"/>
        <v>0</v>
      </c>
      <c r="L95" s="192">
        <f t="shared" si="8"/>
        <v>0</v>
      </c>
      <c r="M95" s="192">
        <v>412.5</v>
      </c>
      <c r="N95" s="192">
        <f>+M95*1000/(84*1*110*60)*T95</f>
        <v>5.2083333333333339</v>
      </c>
      <c r="O95" s="192"/>
      <c r="P95" s="192">
        <f t="shared" si="9"/>
        <v>0</v>
      </c>
      <c r="Q95" s="192"/>
      <c r="R95" s="19">
        <f t="shared" si="10"/>
        <v>0</v>
      </c>
      <c r="S95" s="192">
        <f t="shared" si="11"/>
        <v>0</v>
      </c>
      <c r="T95" s="20">
        <v>7</v>
      </c>
      <c r="U95" s="20"/>
      <c r="V95" s="19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95">
        <v>300255</v>
      </c>
      <c r="B96" s="190" t="s">
        <v>87</v>
      </c>
      <c r="C96" s="226" t="s">
        <v>107</v>
      </c>
      <c r="D96" s="226" t="s">
        <v>101</v>
      </c>
      <c r="E96" s="194" t="s">
        <v>108</v>
      </c>
      <c r="F96" s="13"/>
      <c r="G96" s="208"/>
      <c r="H96" s="208"/>
      <c r="I96" s="208"/>
      <c r="J96" s="208"/>
      <c r="K96" s="192">
        <f t="shared" si="7"/>
        <v>0</v>
      </c>
      <c r="L96" s="192">
        <f t="shared" si="8"/>
        <v>0</v>
      </c>
      <c r="M96" s="192">
        <v>412.5</v>
      </c>
      <c r="N96" s="192">
        <f>+M96*1000/(84*1*110*60)*T96</f>
        <v>5.2083333333333339</v>
      </c>
      <c r="O96" s="192"/>
      <c r="P96" s="192">
        <f t="shared" si="9"/>
        <v>0</v>
      </c>
      <c r="Q96" s="192"/>
      <c r="R96" s="19">
        <f t="shared" si="10"/>
        <v>0</v>
      </c>
      <c r="S96" s="192">
        <f t="shared" si="11"/>
        <v>0</v>
      </c>
      <c r="T96" s="20">
        <v>7</v>
      </c>
      <c r="U96" s="20"/>
      <c r="V96" s="19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208"/>
      <c r="H97" s="208"/>
      <c r="I97" s="208"/>
      <c r="J97" s="208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95">
        <v>300088</v>
      </c>
      <c r="B98" s="190" t="s">
        <v>87</v>
      </c>
      <c r="C98" s="226" t="s">
        <v>110</v>
      </c>
      <c r="D98" s="226" t="s">
        <v>111</v>
      </c>
      <c r="E98" s="194" t="s">
        <v>39</v>
      </c>
      <c r="F98" s="13"/>
      <c r="G98" s="208"/>
      <c r="H98" s="208"/>
      <c r="I98" s="208"/>
      <c r="J98" s="208"/>
      <c r="K98" s="192">
        <f t="shared" si="7"/>
        <v>0</v>
      </c>
      <c r="L98" s="192">
        <f t="shared" si="8"/>
        <v>0</v>
      </c>
      <c r="M98" s="192">
        <v>617.79999999999995</v>
      </c>
      <c r="N98" s="192">
        <f>+M98*1000/(123*1*80*60)*T98</f>
        <v>3.1392276422764223</v>
      </c>
      <c r="O98" s="192"/>
      <c r="P98" s="192">
        <f t="shared" si="9"/>
        <v>0</v>
      </c>
      <c r="Q98" s="192"/>
      <c r="R98" s="19">
        <f t="shared" si="10"/>
        <v>0</v>
      </c>
      <c r="S98" s="192">
        <f t="shared" si="11"/>
        <v>0</v>
      </c>
      <c r="T98" s="20">
        <v>3</v>
      </c>
      <c r="U98" s="20"/>
      <c r="V98" s="19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95">
        <v>300089</v>
      </c>
      <c r="B99" s="190">
        <v>5001</v>
      </c>
      <c r="C99" s="226" t="s">
        <v>110</v>
      </c>
      <c r="D99" s="226" t="s">
        <v>111</v>
      </c>
      <c r="E99" s="194" t="s">
        <v>42</v>
      </c>
      <c r="F99" s="13"/>
      <c r="G99" s="208">
        <v>3</v>
      </c>
      <c r="H99" s="208"/>
      <c r="I99" s="208">
        <f>3-(J99/600)</f>
        <v>2.9166666666666665</v>
      </c>
      <c r="J99" s="208">
        <v>50</v>
      </c>
      <c r="K99" s="192">
        <f t="shared" si="7"/>
        <v>1855.8000000000002</v>
      </c>
      <c r="L99" s="192">
        <f t="shared" si="8"/>
        <v>1804.25</v>
      </c>
      <c r="M99" s="192">
        <v>618.6</v>
      </c>
      <c r="N99" s="192">
        <f>+M99*1000/(124*1*80*60)*T99</f>
        <v>3.117943548387097</v>
      </c>
      <c r="O99" s="192">
        <v>0.5</v>
      </c>
      <c r="P99" s="192">
        <f t="shared" si="9"/>
        <v>11.094002016129032</v>
      </c>
      <c r="Q99" s="192">
        <v>3</v>
      </c>
      <c r="R99" s="19">
        <f t="shared" si="10"/>
        <v>12</v>
      </c>
      <c r="S99" s="192">
        <f t="shared" si="11"/>
        <v>0.90599798387096797</v>
      </c>
      <c r="T99" s="20">
        <v>3</v>
      </c>
      <c r="U99" s="20">
        <v>4</v>
      </c>
      <c r="V99" s="198">
        <f t="array" ref="V99">IF(ISERROR(L99/K99),"",L99/K99)</f>
        <v>0.9722222222222221</v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95">
        <v>300128</v>
      </c>
      <c r="B100" s="190" t="s">
        <v>87</v>
      </c>
      <c r="C100" s="226" t="s">
        <v>112</v>
      </c>
      <c r="D100" s="226" t="s">
        <v>113</v>
      </c>
      <c r="E100" s="194" t="s">
        <v>35</v>
      </c>
      <c r="F100" s="13"/>
      <c r="G100" s="208"/>
      <c r="H100" s="208"/>
      <c r="I100" s="208"/>
      <c r="J100" s="208"/>
      <c r="K100" s="192">
        <f t="shared" si="7"/>
        <v>0</v>
      </c>
      <c r="L100" s="192">
        <f t="shared" si="8"/>
        <v>0</v>
      </c>
      <c r="M100" s="192">
        <v>621.29999999999995</v>
      </c>
      <c r="N100" s="192">
        <f t="shared" ref="N100:N105" si="12">+M100*1000/(130.5*1*80*60)*T100</f>
        <v>3.9674329501915708</v>
      </c>
      <c r="O100" s="192"/>
      <c r="P100" s="192">
        <f t="shared" si="9"/>
        <v>0</v>
      </c>
      <c r="Q100" s="192"/>
      <c r="R100" s="19">
        <f t="shared" si="10"/>
        <v>0</v>
      </c>
      <c r="S100" s="192">
        <f t="shared" si="11"/>
        <v>0</v>
      </c>
      <c r="T100" s="20">
        <v>4</v>
      </c>
      <c r="U100" s="20"/>
      <c r="V100" s="19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95">
        <v>300129</v>
      </c>
      <c r="B101" s="190" t="s">
        <v>87</v>
      </c>
      <c r="C101" s="226" t="s">
        <v>112</v>
      </c>
      <c r="D101" s="226" t="s">
        <v>113</v>
      </c>
      <c r="E101" s="194" t="s">
        <v>41</v>
      </c>
      <c r="F101" s="13"/>
      <c r="G101" s="208"/>
      <c r="H101" s="208"/>
      <c r="I101" s="208"/>
      <c r="J101" s="208"/>
      <c r="K101" s="192">
        <f t="shared" si="7"/>
        <v>0</v>
      </c>
      <c r="L101" s="192">
        <f t="shared" si="8"/>
        <v>0</v>
      </c>
      <c r="M101" s="192">
        <v>621.29999999999995</v>
      </c>
      <c r="N101" s="192">
        <f t="shared" si="12"/>
        <v>3.9674329501915708</v>
      </c>
      <c r="O101" s="192"/>
      <c r="P101" s="192">
        <f t="shared" si="9"/>
        <v>0</v>
      </c>
      <c r="Q101" s="192"/>
      <c r="R101" s="19">
        <f t="shared" si="10"/>
        <v>0</v>
      </c>
      <c r="S101" s="192">
        <f t="shared" si="11"/>
        <v>0</v>
      </c>
      <c r="T101" s="20">
        <v>4</v>
      </c>
      <c r="U101" s="20"/>
      <c r="V101" s="19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95">
        <v>300130</v>
      </c>
      <c r="B102" s="190" t="s">
        <v>87</v>
      </c>
      <c r="C102" s="226" t="s">
        <v>112</v>
      </c>
      <c r="D102" s="226" t="s">
        <v>113</v>
      </c>
      <c r="E102" s="194" t="s">
        <v>37</v>
      </c>
      <c r="F102" s="13"/>
      <c r="G102" s="208"/>
      <c r="H102" s="208"/>
      <c r="I102" s="208"/>
      <c r="J102" s="208"/>
      <c r="K102" s="192">
        <f t="shared" si="7"/>
        <v>0</v>
      </c>
      <c r="L102" s="192">
        <f t="shared" si="8"/>
        <v>0</v>
      </c>
      <c r="M102" s="192">
        <v>621.29999999999995</v>
      </c>
      <c r="N102" s="192">
        <f t="shared" si="12"/>
        <v>3.9674329501915708</v>
      </c>
      <c r="O102" s="192"/>
      <c r="P102" s="192">
        <f t="shared" si="9"/>
        <v>0</v>
      </c>
      <c r="Q102" s="192"/>
      <c r="R102" s="19">
        <f t="shared" si="10"/>
        <v>0</v>
      </c>
      <c r="S102" s="192">
        <f t="shared" si="11"/>
        <v>0</v>
      </c>
      <c r="T102" s="20">
        <v>4</v>
      </c>
      <c r="U102" s="20"/>
      <c r="V102" s="19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95">
        <v>300423</v>
      </c>
      <c r="B103" s="190" t="s">
        <v>300</v>
      </c>
      <c r="C103" s="237" t="s">
        <v>296</v>
      </c>
      <c r="D103" s="238"/>
      <c r="E103" s="194" t="s">
        <v>297</v>
      </c>
      <c r="F103" s="13"/>
      <c r="G103" s="208"/>
      <c r="H103" s="208"/>
      <c r="I103" s="208"/>
      <c r="J103" s="208"/>
      <c r="K103" s="192">
        <f t="shared" si="7"/>
        <v>0</v>
      </c>
      <c r="L103" s="192">
        <f t="shared" si="8"/>
        <v>0</v>
      </c>
      <c r="M103" s="192">
        <v>524.1</v>
      </c>
      <c r="N103" s="192">
        <f t="shared" si="12"/>
        <v>3.3467432950191571</v>
      </c>
      <c r="O103" s="192"/>
      <c r="P103" s="192">
        <f t="shared" si="9"/>
        <v>0</v>
      </c>
      <c r="Q103" s="192"/>
      <c r="R103" s="19">
        <f t="shared" si="10"/>
        <v>0</v>
      </c>
      <c r="S103" s="192">
        <f t="shared" si="11"/>
        <v>0</v>
      </c>
      <c r="T103" s="20">
        <v>4</v>
      </c>
      <c r="U103" s="20"/>
      <c r="V103" s="198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95">
        <v>300424</v>
      </c>
      <c r="B104" s="190" t="s">
        <v>300</v>
      </c>
      <c r="C104" s="237" t="s">
        <v>296</v>
      </c>
      <c r="D104" s="238"/>
      <c r="E104" s="194" t="s">
        <v>298</v>
      </c>
      <c r="F104" s="13"/>
      <c r="G104" s="208"/>
      <c r="H104" s="208"/>
      <c r="I104" s="208"/>
      <c r="J104" s="208"/>
      <c r="K104" s="192">
        <f t="shared" si="7"/>
        <v>0</v>
      </c>
      <c r="L104" s="192">
        <f t="shared" si="8"/>
        <v>0</v>
      </c>
      <c r="M104" s="192">
        <v>524.1</v>
      </c>
      <c r="N104" s="192">
        <f t="shared" si="12"/>
        <v>3.3467432950191571</v>
      </c>
      <c r="O104" s="192"/>
      <c r="P104" s="192">
        <f t="shared" si="9"/>
        <v>0</v>
      </c>
      <c r="Q104" s="192"/>
      <c r="R104" s="19">
        <f t="shared" si="10"/>
        <v>0</v>
      </c>
      <c r="S104" s="192">
        <f t="shared" si="11"/>
        <v>0</v>
      </c>
      <c r="T104" s="20">
        <v>4</v>
      </c>
      <c r="U104" s="20"/>
      <c r="V104" s="198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95">
        <v>300425</v>
      </c>
      <c r="B105" s="190" t="s">
        <v>300</v>
      </c>
      <c r="C105" s="237" t="s">
        <v>296</v>
      </c>
      <c r="D105" s="238"/>
      <c r="E105" s="194" t="s">
        <v>299</v>
      </c>
      <c r="F105" s="13"/>
      <c r="G105" s="208"/>
      <c r="H105" s="208"/>
      <c r="I105" s="208"/>
      <c r="J105" s="208"/>
      <c r="K105" s="192">
        <f t="shared" si="7"/>
        <v>0</v>
      </c>
      <c r="L105" s="192">
        <f t="shared" si="8"/>
        <v>0</v>
      </c>
      <c r="M105" s="192">
        <v>524.1</v>
      </c>
      <c r="N105" s="192">
        <f t="shared" si="12"/>
        <v>3.3467432950191571</v>
      </c>
      <c r="O105" s="192"/>
      <c r="P105" s="192">
        <f t="shared" si="9"/>
        <v>0</v>
      </c>
      <c r="Q105" s="192"/>
      <c r="R105" s="19">
        <f t="shared" si="10"/>
        <v>0</v>
      </c>
      <c r="S105" s="192">
        <f t="shared" si="11"/>
        <v>0</v>
      </c>
      <c r="T105" s="20">
        <v>4</v>
      </c>
      <c r="U105" s="20"/>
      <c r="V105" s="198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90" t="s">
        <v>300</v>
      </c>
      <c r="C106" s="240" t="s">
        <v>114</v>
      </c>
      <c r="D106" s="241"/>
      <c r="E106" s="24" t="s">
        <v>115</v>
      </c>
      <c r="F106" s="25"/>
      <c r="G106" s="208"/>
      <c r="H106" s="208"/>
      <c r="I106" s="208"/>
      <c r="J106" s="208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90" t="s">
        <v>300</v>
      </c>
      <c r="C107" s="240" t="s">
        <v>114</v>
      </c>
      <c r="D107" s="241"/>
      <c r="E107" s="24" t="s">
        <v>117</v>
      </c>
      <c r="F107" s="25"/>
      <c r="G107" s="208"/>
      <c r="H107" s="208"/>
      <c r="I107" s="208"/>
      <c r="J107" s="208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90" t="s">
        <v>300</v>
      </c>
      <c r="C108" s="240" t="s">
        <v>305</v>
      </c>
      <c r="D108" s="241"/>
      <c r="E108" s="24" t="s">
        <v>306</v>
      </c>
      <c r="F108" s="25"/>
      <c r="G108" s="208"/>
      <c r="H108" s="208"/>
      <c r="I108" s="208"/>
      <c r="J108" s="208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90" t="s">
        <v>300</v>
      </c>
      <c r="C109" s="240" t="s">
        <v>305</v>
      </c>
      <c r="D109" s="241"/>
      <c r="E109" s="24" t="s">
        <v>307</v>
      </c>
      <c r="F109" s="25"/>
      <c r="G109" s="208"/>
      <c r="H109" s="208"/>
      <c r="I109" s="208"/>
      <c r="J109" s="208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90" t="s">
        <v>300</v>
      </c>
      <c r="C110" s="240" t="s">
        <v>305</v>
      </c>
      <c r="D110" s="241"/>
      <c r="E110" s="125" t="s">
        <v>308</v>
      </c>
      <c r="F110" s="25"/>
      <c r="G110" s="208"/>
      <c r="H110" s="208"/>
      <c r="I110" s="208"/>
      <c r="J110" s="208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95">
        <v>300074</v>
      </c>
      <c r="B111" s="190" t="s">
        <v>118</v>
      </c>
      <c r="C111" s="226" t="s">
        <v>119</v>
      </c>
      <c r="D111" s="226" t="s">
        <v>120</v>
      </c>
      <c r="E111" s="194" t="s">
        <v>54</v>
      </c>
      <c r="F111" s="13"/>
      <c r="G111" s="208"/>
      <c r="H111" s="208"/>
      <c r="I111" s="208"/>
      <c r="J111" s="208"/>
      <c r="K111" s="192">
        <f t="shared" si="7"/>
        <v>0</v>
      </c>
      <c r="L111" s="192">
        <f t="shared" si="8"/>
        <v>0</v>
      </c>
      <c r="M111" s="192">
        <v>290.8</v>
      </c>
      <c r="N111" s="192">
        <f>+M111*1000/(88*4*13*60)*T111</f>
        <v>3.1774475524475525</v>
      </c>
      <c r="O111" s="192"/>
      <c r="P111" s="192">
        <f t="shared" si="9"/>
        <v>0</v>
      </c>
      <c r="Q111" s="192"/>
      <c r="R111" s="19">
        <f t="shared" si="10"/>
        <v>0</v>
      </c>
      <c r="S111" s="192">
        <f t="shared" si="11"/>
        <v>0</v>
      </c>
      <c r="T111" s="20">
        <v>3</v>
      </c>
      <c r="U111" s="20"/>
      <c r="V111" s="19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95">
        <v>300076</v>
      </c>
      <c r="B112" s="190" t="s">
        <v>118</v>
      </c>
      <c r="C112" s="226" t="s">
        <v>119</v>
      </c>
      <c r="D112" s="226" t="s">
        <v>120</v>
      </c>
      <c r="E112" s="194" t="s">
        <v>35</v>
      </c>
      <c r="F112" s="13"/>
      <c r="G112" s="208"/>
      <c r="H112" s="208"/>
      <c r="I112" s="208"/>
      <c r="J112" s="208"/>
      <c r="K112" s="192">
        <f t="shared" si="7"/>
        <v>0</v>
      </c>
      <c r="L112" s="192">
        <f t="shared" si="8"/>
        <v>0</v>
      </c>
      <c r="M112" s="192">
        <v>303.10000000000002</v>
      </c>
      <c r="N112" s="192">
        <f>+M112*1000/(88*4*12*60)*T112</f>
        <v>4.7837752525252526</v>
      </c>
      <c r="O112" s="192"/>
      <c r="P112" s="192">
        <f t="shared" si="9"/>
        <v>0</v>
      </c>
      <c r="Q112" s="192"/>
      <c r="R112" s="19">
        <f t="shared" si="10"/>
        <v>0</v>
      </c>
      <c r="S112" s="192">
        <f t="shared" si="11"/>
        <v>0</v>
      </c>
      <c r="T112" s="20">
        <v>4</v>
      </c>
      <c r="U112" s="20"/>
      <c r="V112" s="19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95">
        <v>300096</v>
      </c>
      <c r="B113" s="190" t="s">
        <v>118</v>
      </c>
      <c r="C113" s="226" t="s">
        <v>121</v>
      </c>
      <c r="D113" s="226" t="s">
        <v>122</v>
      </c>
      <c r="E113" s="194" t="s">
        <v>37</v>
      </c>
      <c r="F113" s="13"/>
      <c r="G113" s="208"/>
      <c r="H113" s="208"/>
      <c r="I113" s="208"/>
      <c r="J113" s="208"/>
      <c r="K113" s="192">
        <f t="shared" si="7"/>
        <v>0</v>
      </c>
      <c r="L113" s="192">
        <f t="shared" si="8"/>
        <v>0</v>
      </c>
      <c r="M113" s="192">
        <v>480.13</v>
      </c>
      <c r="N113" s="192">
        <f>+M113*1000/(126.5*4*12*60)*T113</f>
        <v>2.6357597716293371</v>
      </c>
      <c r="O113" s="192"/>
      <c r="P113" s="192">
        <f t="shared" si="9"/>
        <v>0</v>
      </c>
      <c r="Q113" s="192"/>
      <c r="R113" s="19">
        <f t="shared" si="10"/>
        <v>0</v>
      </c>
      <c r="S113" s="192">
        <f t="shared" si="11"/>
        <v>0</v>
      </c>
      <c r="T113" s="20">
        <v>2</v>
      </c>
      <c r="U113" s="20"/>
      <c r="V113" s="19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95"/>
      <c r="B114" s="190" t="s">
        <v>118</v>
      </c>
      <c r="C114" s="226" t="s">
        <v>121</v>
      </c>
      <c r="D114" s="226" t="s">
        <v>122</v>
      </c>
      <c r="E114" s="194" t="s">
        <v>35</v>
      </c>
      <c r="F114" s="13"/>
      <c r="G114" s="208"/>
      <c r="H114" s="208"/>
      <c r="I114" s="208"/>
      <c r="J114" s="208"/>
      <c r="K114" s="192">
        <f t="shared" si="7"/>
        <v>0</v>
      </c>
      <c r="L114" s="192">
        <f t="shared" si="8"/>
        <v>0</v>
      </c>
      <c r="M114" s="192">
        <v>480.13</v>
      </c>
      <c r="N114" s="192">
        <f>+M114*1000/(126.5*4*12*60)*T114</f>
        <v>2.6357597716293371</v>
      </c>
      <c r="O114" s="192"/>
      <c r="P114" s="192">
        <f t="shared" si="9"/>
        <v>0</v>
      </c>
      <c r="Q114" s="192"/>
      <c r="R114" s="19">
        <f t="shared" si="10"/>
        <v>0</v>
      </c>
      <c r="S114" s="192">
        <f t="shared" si="11"/>
        <v>0</v>
      </c>
      <c r="T114" s="20">
        <v>2</v>
      </c>
      <c r="U114" s="20"/>
      <c r="V114" s="19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95">
        <v>300097</v>
      </c>
      <c r="B115" s="190" t="s">
        <v>118</v>
      </c>
      <c r="C115" s="226" t="s">
        <v>121</v>
      </c>
      <c r="D115" s="226" t="s">
        <v>122</v>
      </c>
      <c r="E115" s="194" t="s">
        <v>63</v>
      </c>
      <c r="F115" s="13"/>
      <c r="G115" s="208"/>
      <c r="H115" s="208"/>
      <c r="I115" s="208"/>
      <c r="J115" s="208"/>
      <c r="K115" s="192">
        <f t="shared" si="7"/>
        <v>0</v>
      </c>
      <c r="L115" s="192">
        <f t="shared" si="8"/>
        <v>0</v>
      </c>
      <c r="M115" s="192">
        <v>480.13</v>
      </c>
      <c r="N115" s="192">
        <f>+M115*1000/(126.5*4*12*60)*T115</f>
        <v>2.6357597716293371</v>
      </c>
      <c r="O115" s="192"/>
      <c r="P115" s="192">
        <f t="shared" si="9"/>
        <v>0</v>
      </c>
      <c r="Q115" s="192"/>
      <c r="R115" s="19">
        <f t="shared" si="10"/>
        <v>0</v>
      </c>
      <c r="S115" s="192">
        <f t="shared" si="11"/>
        <v>0</v>
      </c>
      <c r="T115" s="20">
        <v>2</v>
      </c>
      <c r="U115" s="20"/>
      <c r="V115" s="19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90">
        <v>300294</v>
      </c>
      <c r="B116" s="190" t="s">
        <v>118</v>
      </c>
      <c r="C116" s="226" t="s">
        <v>123</v>
      </c>
      <c r="D116" s="226"/>
      <c r="E116" s="194" t="s">
        <v>41</v>
      </c>
      <c r="F116" s="27"/>
      <c r="G116" s="208"/>
      <c r="H116" s="208"/>
      <c r="I116" s="208"/>
      <c r="J116" s="208"/>
      <c r="K116" s="192">
        <f t="shared" si="7"/>
        <v>0</v>
      </c>
      <c r="L116" s="192">
        <f t="shared" si="8"/>
        <v>0</v>
      </c>
      <c r="M116" s="192">
        <v>373.14</v>
      </c>
      <c r="N116" s="192">
        <f t="shared" ref="N116:N125" si="13">+M116*1000/(90*4*14*60)*T116</f>
        <v>3.7017857142857142</v>
      </c>
      <c r="O116" s="192"/>
      <c r="P116" s="192">
        <f t="shared" si="9"/>
        <v>0</v>
      </c>
      <c r="Q116" s="192"/>
      <c r="R116" s="19">
        <f t="shared" si="10"/>
        <v>0</v>
      </c>
      <c r="S116" s="192">
        <f t="shared" si="11"/>
        <v>0</v>
      </c>
      <c r="T116" s="20">
        <v>3</v>
      </c>
      <c r="U116" s="20"/>
      <c r="V116" s="19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90">
        <v>300295</v>
      </c>
      <c r="B117" s="190" t="s">
        <v>124</v>
      </c>
      <c r="C117" s="226" t="s">
        <v>125</v>
      </c>
      <c r="D117" s="226"/>
      <c r="E117" s="194" t="s">
        <v>126</v>
      </c>
      <c r="F117" s="27"/>
      <c r="G117" s="208"/>
      <c r="H117" s="208"/>
      <c r="I117" s="208"/>
      <c r="J117" s="208"/>
      <c r="K117" s="192">
        <f t="shared" si="7"/>
        <v>0</v>
      </c>
      <c r="L117" s="192">
        <f t="shared" si="8"/>
        <v>0</v>
      </c>
      <c r="M117" s="192">
        <v>373.14</v>
      </c>
      <c r="N117" s="192">
        <f t="shared" si="13"/>
        <v>3.7017857142857142</v>
      </c>
      <c r="O117" s="192"/>
      <c r="P117" s="192">
        <f t="shared" si="9"/>
        <v>0</v>
      </c>
      <c r="Q117" s="192"/>
      <c r="R117" s="19">
        <f t="shared" si="10"/>
        <v>0</v>
      </c>
      <c r="S117" s="192">
        <f t="shared" si="11"/>
        <v>0</v>
      </c>
      <c r="T117" s="20">
        <v>3</v>
      </c>
      <c r="U117" s="20"/>
      <c r="V117" s="19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90">
        <v>300258</v>
      </c>
      <c r="B118" s="190" t="s">
        <v>118</v>
      </c>
      <c r="C118" s="226" t="s">
        <v>123</v>
      </c>
      <c r="D118" s="226"/>
      <c r="E118" s="194" t="s">
        <v>42</v>
      </c>
      <c r="F118" s="27"/>
      <c r="G118" s="208"/>
      <c r="H118" s="208"/>
      <c r="I118" s="208"/>
      <c r="J118" s="208"/>
      <c r="K118" s="192">
        <f t="shared" si="7"/>
        <v>0</v>
      </c>
      <c r="L118" s="192">
        <f t="shared" si="8"/>
        <v>0</v>
      </c>
      <c r="M118" s="192">
        <v>373.14</v>
      </c>
      <c r="N118" s="192">
        <f t="shared" si="13"/>
        <v>3.7017857142857142</v>
      </c>
      <c r="O118" s="192"/>
      <c r="P118" s="192">
        <f t="shared" si="9"/>
        <v>0</v>
      </c>
      <c r="Q118" s="192"/>
      <c r="R118" s="19">
        <f t="shared" si="10"/>
        <v>0</v>
      </c>
      <c r="S118" s="192">
        <f t="shared" si="11"/>
        <v>0</v>
      </c>
      <c r="T118" s="20">
        <v>3</v>
      </c>
      <c r="U118" s="20"/>
      <c r="V118" s="19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90">
        <v>300256</v>
      </c>
      <c r="B119" s="190" t="s">
        <v>118</v>
      </c>
      <c r="C119" s="226" t="s">
        <v>123</v>
      </c>
      <c r="D119" s="226"/>
      <c r="E119" s="194" t="s">
        <v>74</v>
      </c>
      <c r="F119" s="27"/>
      <c r="G119" s="208"/>
      <c r="H119" s="208"/>
      <c r="I119" s="208"/>
      <c r="J119" s="208"/>
      <c r="K119" s="192">
        <f t="shared" si="7"/>
        <v>0</v>
      </c>
      <c r="L119" s="192">
        <f t="shared" si="8"/>
        <v>0</v>
      </c>
      <c r="M119" s="192">
        <v>373.14</v>
      </c>
      <c r="N119" s="192">
        <f t="shared" si="13"/>
        <v>3.7017857142857142</v>
      </c>
      <c r="O119" s="192"/>
      <c r="P119" s="192">
        <f t="shared" si="9"/>
        <v>0</v>
      </c>
      <c r="Q119" s="192"/>
      <c r="R119" s="19">
        <f t="shared" si="10"/>
        <v>0</v>
      </c>
      <c r="S119" s="192">
        <f t="shared" si="11"/>
        <v>0</v>
      </c>
      <c r="T119" s="20">
        <v>3</v>
      </c>
      <c r="U119" s="20"/>
      <c r="V119" s="19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90">
        <v>300259</v>
      </c>
      <c r="B120" s="190" t="s">
        <v>118</v>
      </c>
      <c r="C120" s="226" t="s">
        <v>123</v>
      </c>
      <c r="D120" s="226"/>
      <c r="E120" s="194" t="s">
        <v>40</v>
      </c>
      <c r="F120" s="27"/>
      <c r="G120" s="208"/>
      <c r="H120" s="208"/>
      <c r="I120" s="208"/>
      <c r="J120" s="208"/>
      <c r="K120" s="192">
        <f t="shared" si="7"/>
        <v>0</v>
      </c>
      <c r="L120" s="192">
        <f t="shared" si="8"/>
        <v>0</v>
      </c>
      <c r="M120" s="192">
        <v>373.14</v>
      </c>
      <c r="N120" s="192">
        <f t="shared" si="13"/>
        <v>3.7017857142857142</v>
      </c>
      <c r="O120" s="192"/>
      <c r="P120" s="192">
        <f t="shared" si="9"/>
        <v>0</v>
      </c>
      <c r="Q120" s="192"/>
      <c r="R120" s="19">
        <f t="shared" si="10"/>
        <v>0</v>
      </c>
      <c r="S120" s="192">
        <f t="shared" si="11"/>
        <v>0</v>
      </c>
      <c r="T120" s="20">
        <v>3</v>
      </c>
      <c r="U120" s="20"/>
      <c r="V120" s="19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90">
        <v>300345</v>
      </c>
      <c r="B121" s="190" t="s">
        <v>118</v>
      </c>
      <c r="C121" s="226" t="s">
        <v>127</v>
      </c>
      <c r="D121" s="226"/>
      <c r="E121" s="194" t="s">
        <v>74</v>
      </c>
      <c r="F121" s="27"/>
      <c r="G121" s="208"/>
      <c r="H121" s="208"/>
      <c r="I121" s="208"/>
      <c r="J121" s="208"/>
      <c r="K121" s="192">
        <f t="shared" si="7"/>
        <v>0</v>
      </c>
      <c r="L121" s="192">
        <f t="shared" si="8"/>
        <v>0</v>
      </c>
      <c r="M121" s="192">
        <v>373.14</v>
      </c>
      <c r="N121" s="192">
        <f t="shared" si="13"/>
        <v>3.7017857142857142</v>
      </c>
      <c r="O121" s="41"/>
      <c r="P121" s="192">
        <f t="shared" si="9"/>
        <v>0</v>
      </c>
      <c r="Q121" s="41"/>
      <c r="R121" s="19">
        <f t="shared" si="10"/>
        <v>0</v>
      </c>
      <c r="S121" s="192">
        <f t="shared" si="11"/>
        <v>0</v>
      </c>
      <c r="T121" s="20">
        <v>3</v>
      </c>
      <c r="U121" s="41"/>
      <c r="V121" s="198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90">
        <v>300346</v>
      </c>
      <c r="B122" s="190" t="s">
        <v>118</v>
      </c>
      <c r="C122" s="226" t="s">
        <v>127</v>
      </c>
      <c r="D122" s="226"/>
      <c r="E122" s="194" t="s">
        <v>42</v>
      </c>
      <c r="F122" s="27"/>
      <c r="G122" s="208"/>
      <c r="H122" s="208"/>
      <c r="I122" s="208"/>
      <c r="J122" s="208"/>
      <c r="K122" s="192">
        <f t="shared" si="7"/>
        <v>0</v>
      </c>
      <c r="L122" s="192">
        <f t="shared" si="8"/>
        <v>0</v>
      </c>
      <c r="M122" s="192">
        <v>373.14</v>
      </c>
      <c r="N122" s="192">
        <f t="shared" si="13"/>
        <v>3.7017857142857142</v>
      </c>
      <c r="O122" s="41"/>
      <c r="P122" s="192">
        <f t="shared" si="9"/>
        <v>0</v>
      </c>
      <c r="Q122" s="41"/>
      <c r="R122" s="19">
        <f t="shared" si="10"/>
        <v>0</v>
      </c>
      <c r="S122" s="192">
        <f t="shared" si="11"/>
        <v>0</v>
      </c>
      <c r="T122" s="20">
        <v>3</v>
      </c>
      <c r="U122" s="41"/>
      <c r="V122" s="198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90">
        <v>300347</v>
      </c>
      <c r="B123" s="190" t="s">
        <v>118</v>
      </c>
      <c r="C123" s="226" t="s">
        <v>127</v>
      </c>
      <c r="D123" s="226"/>
      <c r="E123" s="194" t="s">
        <v>41</v>
      </c>
      <c r="F123" s="27"/>
      <c r="G123" s="208"/>
      <c r="H123" s="208"/>
      <c r="I123" s="208"/>
      <c r="J123" s="208"/>
      <c r="K123" s="192">
        <f t="shared" si="7"/>
        <v>0</v>
      </c>
      <c r="L123" s="192">
        <f t="shared" si="8"/>
        <v>0</v>
      </c>
      <c r="M123" s="192">
        <v>373.14</v>
      </c>
      <c r="N123" s="192">
        <f t="shared" si="13"/>
        <v>3.7017857142857142</v>
      </c>
      <c r="O123" s="41"/>
      <c r="P123" s="192">
        <f t="shared" si="9"/>
        <v>0</v>
      </c>
      <c r="Q123" s="41"/>
      <c r="R123" s="19">
        <f t="shared" si="10"/>
        <v>0</v>
      </c>
      <c r="S123" s="192">
        <f t="shared" si="11"/>
        <v>0</v>
      </c>
      <c r="T123" s="20">
        <v>3</v>
      </c>
      <c r="U123" s="41"/>
      <c r="V123" s="198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90">
        <v>300348</v>
      </c>
      <c r="B124" s="190" t="s">
        <v>118</v>
      </c>
      <c r="C124" s="226" t="s">
        <v>127</v>
      </c>
      <c r="D124" s="226"/>
      <c r="E124" s="194" t="s">
        <v>126</v>
      </c>
      <c r="F124" s="27"/>
      <c r="G124" s="208"/>
      <c r="H124" s="208"/>
      <c r="I124" s="208"/>
      <c r="J124" s="208"/>
      <c r="K124" s="192">
        <f t="shared" si="7"/>
        <v>0</v>
      </c>
      <c r="L124" s="192">
        <f t="shared" si="8"/>
        <v>0</v>
      </c>
      <c r="M124" s="192">
        <v>373.14</v>
      </c>
      <c r="N124" s="192">
        <f t="shared" si="13"/>
        <v>3.7017857142857142</v>
      </c>
      <c r="O124" s="41"/>
      <c r="P124" s="192">
        <f t="shared" si="9"/>
        <v>0</v>
      </c>
      <c r="Q124" s="41"/>
      <c r="R124" s="19">
        <f t="shared" si="10"/>
        <v>0</v>
      </c>
      <c r="S124" s="192">
        <f t="shared" si="11"/>
        <v>0</v>
      </c>
      <c r="T124" s="20">
        <v>3</v>
      </c>
      <c r="U124" s="41"/>
      <c r="V124" s="198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90">
        <v>300349</v>
      </c>
      <c r="B125" s="190" t="s">
        <v>118</v>
      </c>
      <c r="C125" s="226" t="s">
        <v>127</v>
      </c>
      <c r="D125" s="226"/>
      <c r="E125" s="194" t="s">
        <v>40</v>
      </c>
      <c r="F125" s="27"/>
      <c r="G125" s="208"/>
      <c r="H125" s="208"/>
      <c r="I125" s="208"/>
      <c r="J125" s="208"/>
      <c r="K125" s="192">
        <f t="shared" si="7"/>
        <v>0</v>
      </c>
      <c r="L125" s="192">
        <f t="shared" si="8"/>
        <v>0</v>
      </c>
      <c r="M125" s="192">
        <v>373.14</v>
      </c>
      <c r="N125" s="192">
        <f t="shared" si="13"/>
        <v>3.7017857142857142</v>
      </c>
      <c r="O125" s="41"/>
      <c r="P125" s="192">
        <f t="shared" si="9"/>
        <v>0</v>
      </c>
      <c r="Q125" s="41"/>
      <c r="R125" s="19">
        <f t="shared" si="10"/>
        <v>0</v>
      </c>
      <c r="S125" s="192">
        <f t="shared" si="11"/>
        <v>0</v>
      </c>
      <c r="T125" s="20">
        <v>3</v>
      </c>
      <c r="U125" s="41"/>
      <c r="V125" s="198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90">
        <v>300298</v>
      </c>
      <c r="B126" s="190" t="s">
        <v>118</v>
      </c>
      <c r="C126" s="226" t="s">
        <v>128</v>
      </c>
      <c r="D126" s="226"/>
      <c r="E126" s="194" t="s">
        <v>54</v>
      </c>
      <c r="F126" s="27"/>
      <c r="G126" s="208"/>
      <c r="H126" s="208"/>
      <c r="I126" s="208"/>
      <c r="J126" s="208"/>
      <c r="K126" s="192">
        <f t="shared" si="7"/>
        <v>0</v>
      </c>
      <c r="L126" s="192">
        <f t="shared" si="8"/>
        <v>0</v>
      </c>
      <c r="M126" s="192">
        <v>380.63</v>
      </c>
      <c r="N126" s="192">
        <f t="shared" ref="N126:N131" si="14">+M126*1000/(94.7*4*15*60)*T126</f>
        <v>4.4659157573624313</v>
      </c>
      <c r="O126" s="192"/>
      <c r="P126" s="192">
        <f t="shared" si="9"/>
        <v>0</v>
      </c>
      <c r="Q126" s="192"/>
      <c r="R126" s="19">
        <f t="shared" si="10"/>
        <v>0</v>
      </c>
      <c r="S126" s="192">
        <f t="shared" si="11"/>
        <v>0</v>
      </c>
      <c r="T126" s="20">
        <v>4</v>
      </c>
      <c r="U126" s="20"/>
      <c r="V126" s="19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90">
        <v>300299</v>
      </c>
      <c r="B127" s="190" t="s">
        <v>118</v>
      </c>
      <c r="C127" s="226" t="s">
        <v>128</v>
      </c>
      <c r="D127" s="226"/>
      <c r="E127" s="194" t="s">
        <v>39</v>
      </c>
      <c r="F127" s="27"/>
      <c r="G127" s="208"/>
      <c r="H127" s="208"/>
      <c r="I127" s="208"/>
      <c r="J127" s="208"/>
      <c r="K127" s="192">
        <f t="shared" si="7"/>
        <v>0</v>
      </c>
      <c r="L127" s="192">
        <f t="shared" si="8"/>
        <v>0</v>
      </c>
      <c r="M127" s="192">
        <v>380.63</v>
      </c>
      <c r="N127" s="192">
        <f t="shared" si="14"/>
        <v>4.4659157573624313</v>
      </c>
      <c r="O127" s="192"/>
      <c r="P127" s="192">
        <f t="shared" si="9"/>
        <v>0</v>
      </c>
      <c r="Q127" s="192"/>
      <c r="R127" s="19">
        <f t="shared" si="10"/>
        <v>0</v>
      </c>
      <c r="S127" s="192">
        <f t="shared" si="11"/>
        <v>0</v>
      </c>
      <c r="T127" s="20">
        <v>4</v>
      </c>
      <c r="U127" s="20"/>
      <c r="V127" s="19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90">
        <v>300296</v>
      </c>
      <c r="B128" s="190" t="s">
        <v>118</v>
      </c>
      <c r="C128" s="226" t="s">
        <v>128</v>
      </c>
      <c r="D128" s="226"/>
      <c r="E128" s="194" t="s">
        <v>41</v>
      </c>
      <c r="F128" s="27"/>
      <c r="G128" s="208"/>
      <c r="H128" s="208"/>
      <c r="I128" s="208"/>
      <c r="J128" s="208"/>
      <c r="K128" s="192">
        <f t="shared" si="7"/>
        <v>0</v>
      </c>
      <c r="L128" s="192">
        <f t="shared" si="8"/>
        <v>0</v>
      </c>
      <c r="M128" s="192">
        <v>380.63</v>
      </c>
      <c r="N128" s="192">
        <f t="shared" si="14"/>
        <v>4.4659157573624313</v>
      </c>
      <c r="O128" s="192"/>
      <c r="P128" s="192">
        <f t="shared" si="9"/>
        <v>0</v>
      </c>
      <c r="Q128" s="192"/>
      <c r="R128" s="19">
        <f t="shared" si="10"/>
        <v>0</v>
      </c>
      <c r="S128" s="192">
        <f t="shared" si="11"/>
        <v>0</v>
      </c>
      <c r="T128" s="20">
        <v>4</v>
      </c>
      <c r="U128" s="20"/>
      <c r="V128" s="19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90">
        <v>300297</v>
      </c>
      <c r="B129" s="190" t="s">
        <v>118</v>
      </c>
      <c r="C129" s="226" t="s">
        <v>128</v>
      </c>
      <c r="D129" s="226"/>
      <c r="E129" s="194" t="s">
        <v>37</v>
      </c>
      <c r="F129" s="27"/>
      <c r="G129" s="208"/>
      <c r="H129" s="208"/>
      <c r="I129" s="208"/>
      <c r="J129" s="208"/>
      <c r="K129" s="192">
        <f t="shared" si="7"/>
        <v>0</v>
      </c>
      <c r="L129" s="192">
        <f t="shared" si="8"/>
        <v>0</v>
      </c>
      <c r="M129" s="192">
        <v>380.63</v>
      </c>
      <c r="N129" s="192">
        <f t="shared" si="14"/>
        <v>4.4659157573624313</v>
      </c>
      <c r="O129" s="192"/>
      <c r="P129" s="192">
        <f t="shared" si="9"/>
        <v>0</v>
      </c>
      <c r="Q129" s="192"/>
      <c r="R129" s="19">
        <f t="shared" si="10"/>
        <v>0</v>
      </c>
      <c r="S129" s="192">
        <f t="shared" si="11"/>
        <v>0</v>
      </c>
      <c r="T129" s="20">
        <v>4</v>
      </c>
      <c r="U129" s="20"/>
      <c r="V129" s="19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90">
        <v>300340</v>
      </c>
      <c r="B130" s="190" t="s">
        <v>118</v>
      </c>
      <c r="C130" s="237" t="s">
        <v>129</v>
      </c>
      <c r="D130" s="238"/>
      <c r="E130" s="194" t="s">
        <v>41</v>
      </c>
      <c r="F130" s="27"/>
      <c r="G130" s="208"/>
      <c r="H130" s="208"/>
      <c r="I130" s="208"/>
      <c r="J130" s="208"/>
      <c r="K130" s="192">
        <f t="shared" si="7"/>
        <v>0</v>
      </c>
      <c r="L130" s="192">
        <f t="shared" si="8"/>
        <v>0</v>
      </c>
      <c r="M130" s="192">
        <v>325.60000000000002</v>
      </c>
      <c r="N130" s="192">
        <f t="shared" si="14"/>
        <v>3.8202510852986036</v>
      </c>
      <c r="O130" s="192"/>
      <c r="P130" s="192">
        <f t="shared" si="9"/>
        <v>0</v>
      </c>
      <c r="Q130" s="192"/>
      <c r="R130" s="19">
        <f t="shared" si="10"/>
        <v>0</v>
      </c>
      <c r="S130" s="192">
        <f t="shared" si="11"/>
        <v>0</v>
      </c>
      <c r="T130" s="20">
        <v>4</v>
      </c>
      <c r="U130" s="20"/>
      <c r="V130" s="198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90">
        <v>300339</v>
      </c>
      <c r="B131" s="190" t="s">
        <v>118</v>
      </c>
      <c r="C131" s="237" t="s">
        <v>129</v>
      </c>
      <c r="D131" s="238"/>
      <c r="E131" s="194" t="s">
        <v>39</v>
      </c>
      <c r="F131" s="27"/>
      <c r="G131" s="208"/>
      <c r="H131" s="208"/>
      <c r="I131" s="208"/>
      <c r="J131" s="208"/>
      <c r="K131" s="192">
        <f t="shared" si="7"/>
        <v>0</v>
      </c>
      <c r="L131" s="192">
        <f t="shared" si="8"/>
        <v>0</v>
      </c>
      <c r="M131" s="192">
        <v>325.60000000000002</v>
      </c>
      <c r="N131" s="192">
        <f t="shared" si="14"/>
        <v>3.8202510852986036</v>
      </c>
      <c r="O131" s="192"/>
      <c r="P131" s="192">
        <f t="shared" si="9"/>
        <v>0</v>
      </c>
      <c r="Q131" s="192"/>
      <c r="R131" s="19">
        <f t="shared" si="10"/>
        <v>0</v>
      </c>
      <c r="S131" s="192">
        <f t="shared" si="11"/>
        <v>0</v>
      </c>
      <c r="T131" s="20">
        <v>4</v>
      </c>
      <c r="U131" s="20"/>
      <c r="V131" s="198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90">
        <v>300303</v>
      </c>
      <c r="B132" s="190" t="s">
        <v>118</v>
      </c>
      <c r="C132" s="226" t="s">
        <v>130</v>
      </c>
      <c r="D132" s="226" t="s">
        <v>131</v>
      </c>
      <c r="E132" s="194" t="s">
        <v>57</v>
      </c>
      <c r="F132" s="27"/>
      <c r="G132" s="208"/>
      <c r="H132" s="208"/>
      <c r="I132" s="208"/>
      <c r="J132" s="208"/>
      <c r="K132" s="192">
        <f t="shared" si="7"/>
        <v>0</v>
      </c>
      <c r="L132" s="192">
        <f t="shared" si="8"/>
        <v>0</v>
      </c>
      <c r="M132" s="192">
        <v>396.92</v>
      </c>
      <c r="N132" s="192">
        <f>+M132*1000/(113.8*4*15*60)*T132</f>
        <v>4.8442686975200155</v>
      </c>
      <c r="O132" s="192"/>
      <c r="P132" s="192">
        <f t="shared" si="9"/>
        <v>0</v>
      </c>
      <c r="Q132" s="192"/>
      <c r="R132" s="19">
        <f t="shared" si="10"/>
        <v>0</v>
      </c>
      <c r="S132" s="192">
        <f t="shared" si="11"/>
        <v>0</v>
      </c>
      <c r="T132" s="20">
        <v>5</v>
      </c>
      <c r="U132" s="20"/>
      <c r="V132" s="19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90">
        <v>300302</v>
      </c>
      <c r="B133" s="190" t="s">
        <v>118</v>
      </c>
      <c r="C133" s="226" t="s">
        <v>130</v>
      </c>
      <c r="D133" s="226" t="s">
        <v>131</v>
      </c>
      <c r="E133" s="194" t="s">
        <v>117</v>
      </c>
      <c r="F133" s="27"/>
      <c r="G133" s="208"/>
      <c r="H133" s="208"/>
      <c r="I133" s="208"/>
      <c r="J133" s="208"/>
      <c r="K133" s="192">
        <f t="shared" si="7"/>
        <v>0</v>
      </c>
      <c r="L133" s="192">
        <f t="shared" si="8"/>
        <v>0</v>
      </c>
      <c r="M133" s="192">
        <v>396.06</v>
      </c>
      <c r="N133" s="192">
        <f>+M133*1000/(113.8*4*15*60)*T133</f>
        <v>4.8337727006444053</v>
      </c>
      <c r="O133" s="192"/>
      <c r="P133" s="192">
        <f t="shared" si="9"/>
        <v>0</v>
      </c>
      <c r="Q133" s="192"/>
      <c r="R133" s="19">
        <f t="shared" si="10"/>
        <v>0</v>
      </c>
      <c r="S133" s="192">
        <f t="shared" si="11"/>
        <v>0</v>
      </c>
      <c r="T133" s="20">
        <v>5</v>
      </c>
      <c r="U133" s="20"/>
      <c r="V133" s="19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90">
        <v>300301</v>
      </c>
      <c r="B134" s="190" t="s">
        <v>118</v>
      </c>
      <c r="C134" s="226" t="s">
        <v>130</v>
      </c>
      <c r="D134" s="226" t="s">
        <v>131</v>
      </c>
      <c r="E134" s="194" t="s">
        <v>132</v>
      </c>
      <c r="F134" s="27"/>
      <c r="G134" s="208"/>
      <c r="H134" s="208"/>
      <c r="I134" s="208"/>
      <c r="J134" s="208"/>
      <c r="K134" s="192">
        <f t="shared" si="7"/>
        <v>0</v>
      </c>
      <c r="L134" s="192">
        <f t="shared" si="8"/>
        <v>0</v>
      </c>
      <c r="M134" s="192">
        <v>401.25</v>
      </c>
      <c r="N134" s="192">
        <f>+M134*1000/(113.8*4*15*60)*T134</f>
        <v>4.8971148213239601</v>
      </c>
      <c r="O134" s="192"/>
      <c r="P134" s="192">
        <f t="shared" si="9"/>
        <v>0</v>
      </c>
      <c r="Q134" s="192"/>
      <c r="R134" s="19">
        <f t="shared" si="10"/>
        <v>0</v>
      </c>
      <c r="S134" s="192">
        <f t="shared" si="11"/>
        <v>0</v>
      </c>
      <c r="T134" s="20">
        <v>5</v>
      </c>
      <c r="U134" s="20"/>
      <c r="V134" s="19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95">
        <v>300304</v>
      </c>
      <c r="B135" s="190" t="s">
        <v>118</v>
      </c>
      <c r="C135" s="226" t="s">
        <v>130</v>
      </c>
      <c r="D135" s="226"/>
      <c r="E135" s="194" t="s">
        <v>133</v>
      </c>
      <c r="F135" s="27"/>
      <c r="G135" s="208"/>
      <c r="H135" s="208"/>
      <c r="I135" s="208"/>
      <c r="J135" s="208"/>
      <c r="K135" s="192">
        <f t="shared" si="7"/>
        <v>0</v>
      </c>
      <c r="L135" s="192">
        <f t="shared" si="8"/>
        <v>0</v>
      </c>
      <c r="M135" s="192">
        <v>401.25</v>
      </c>
      <c r="N135" s="192">
        <f>+M135*1000/(113.8*4*15*60)*T135</f>
        <v>4.8971148213239601</v>
      </c>
      <c r="O135" s="192"/>
      <c r="P135" s="192">
        <f t="shared" si="9"/>
        <v>0</v>
      </c>
      <c r="Q135" s="192"/>
      <c r="R135" s="19">
        <f t="shared" si="10"/>
        <v>0</v>
      </c>
      <c r="S135" s="192">
        <f t="shared" si="11"/>
        <v>0</v>
      </c>
      <c r="T135" s="20">
        <v>5</v>
      </c>
      <c r="U135" s="20"/>
      <c r="V135" s="19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95">
        <v>300300</v>
      </c>
      <c r="B136" s="190" t="s">
        <v>118</v>
      </c>
      <c r="C136" s="226" t="s">
        <v>130</v>
      </c>
      <c r="D136" s="226" t="s">
        <v>131</v>
      </c>
      <c r="E136" s="194" t="s">
        <v>54</v>
      </c>
      <c r="F136" s="27"/>
      <c r="G136" s="208"/>
      <c r="H136" s="208"/>
      <c r="I136" s="208"/>
      <c r="J136" s="208"/>
      <c r="K136" s="192">
        <f t="shared" si="7"/>
        <v>0</v>
      </c>
      <c r="L136" s="192">
        <f t="shared" si="8"/>
        <v>0</v>
      </c>
      <c r="M136" s="192">
        <v>399.07</v>
      </c>
      <c r="N136" s="192">
        <f>+M136*1000/(113.8*4*15*60)*T136</f>
        <v>4.8705086897090411</v>
      </c>
      <c r="O136" s="192"/>
      <c r="P136" s="192">
        <f t="shared" si="9"/>
        <v>0</v>
      </c>
      <c r="Q136" s="192"/>
      <c r="R136" s="19">
        <f t="shared" si="10"/>
        <v>0</v>
      </c>
      <c r="S136" s="192">
        <f t="shared" si="11"/>
        <v>0</v>
      </c>
      <c r="T136" s="20">
        <v>5</v>
      </c>
      <c r="U136" s="20"/>
      <c r="V136" s="19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95">
        <v>300085</v>
      </c>
      <c r="B137" s="190">
        <v>6503</v>
      </c>
      <c r="C137" s="226" t="s">
        <v>134</v>
      </c>
      <c r="D137" s="226" t="s">
        <v>131</v>
      </c>
      <c r="E137" s="194" t="s">
        <v>135</v>
      </c>
      <c r="F137" s="27"/>
      <c r="G137" s="208"/>
      <c r="H137" s="208"/>
      <c r="I137" s="208"/>
      <c r="J137" s="208"/>
      <c r="K137" s="192">
        <f t="shared" si="7"/>
        <v>0</v>
      </c>
      <c r="L137" s="192">
        <f t="shared" si="8"/>
        <v>0</v>
      </c>
      <c r="M137" s="192">
        <v>394.3</v>
      </c>
      <c r="N137" s="192">
        <f>+M137*1000/(104.2*4*15*60)*T137</f>
        <v>6.3067818298144598</v>
      </c>
      <c r="O137" s="192"/>
      <c r="P137" s="192">
        <f t="shared" si="9"/>
        <v>0</v>
      </c>
      <c r="Q137" s="192"/>
      <c r="R137" s="19">
        <f t="shared" si="10"/>
        <v>0</v>
      </c>
      <c r="S137" s="192">
        <f t="shared" si="11"/>
        <v>0</v>
      </c>
      <c r="T137" s="20">
        <v>6</v>
      </c>
      <c r="U137" s="20"/>
      <c r="V137" s="19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95">
        <v>300087</v>
      </c>
      <c r="B138" s="190" t="s">
        <v>118</v>
      </c>
      <c r="C138" s="226" t="s">
        <v>134</v>
      </c>
      <c r="D138" s="226" t="s">
        <v>131</v>
      </c>
      <c r="E138" s="194" t="s">
        <v>80</v>
      </c>
      <c r="F138" s="27"/>
      <c r="G138" s="208"/>
      <c r="H138" s="208"/>
      <c r="I138" s="208"/>
      <c r="J138" s="208"/>
      <c r="K138" s="192">
        <f t="shared" si="7"/>
        <v>0</v>
      </c>
      <c r="L138" s="192">
        <f t="shared" si="8"/>
        <v>0</v>
      </c>
      <c r="M138" s="192">
        <v>380.1</v>
      </c>
      <c r="N138" s="192">
        <f>+M138*1000/(104.2*4*16*60)*T138</f>
        <v>4.7497300863723604</v>
      </c>
      <c r="O138" s="192"/>
      <c r="P138" s="192">
        <f t="shared" si="9"/>
        <v>0</v>
      </c>
      <c r="Q138" s="192"/>
      <c r="R138" s="19">
        <f t="shared" si="10"/>
        <v>0</v>
      </c>
      <c r="S138" s="192">
        <f t="shared" si="11"/>
        <v>0</v>
      </c>
      <c r="T138" s="20">
        <v>5</v>
      </c>
      <c r="U138" s="20"/>
      <c r="V138" s="19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95">
        <v>300387</v>
      </c>
      <c r="B139" s="190" t="s">
        <v>136</v>
      </c>
      <c r="C139" s="237" t="s">
        <v>137</v>
      </c>
      <c r="D139" s="238"/>
      <c r="E139" s="194" t="s">
        <v>57</v>
      </c>
      <c r="F139" s="27"/>
      <c r="G139" s="208"/>
      <c r="H139" s="208"/>
      <c r="I139" s="208"/>
      <c r="J139" s="208"/>
      <c r="K139" s="192">
        <f t="shared" si="7"/>
        <v>0</v>
      </c>
      <c r="L139" s="192">
        <f t="shared" si="8"/>
        <v>0</v>
      </c>
      <c r="M139" s="192">
        <v>352.29</v>
      </c>
      <c r="N139" s="192">
        <f>+M139*1000/(104.2*4*16*60)*T139</f>
        <v>4.4022162907869484</v>
      </c>
      <c r="O139" s="192"/>
      <c r="P139" s="192">
        <f t="shared" si="9"/>
        <v>0</v>
      </c>
      <c r="Q139" s="192"/>
      <c r="R139" s="19">
        <f t="shared" si="10"/>
        <v>0</v>
      </c>
      <c r="S139" s="192">
        <f t="shared" si="11"/>
        <v>0</v>
      </c>
      <c r="T139" s="20">
        <v>5</v>
      </c>
      <c r="U139" s="20"/>
      <c r="V139" s="19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95">
        <v>300388</v>
      </c>
      <c r="B140" s="190" t="s">
        <v>138</v>
      </c>
      <c r="C140" s="237" t="s">
        <v>137</v>
      </c>
      <c r="D140" s="238"/>
      <c r="E140" s="194" t="s">
        <v>117</v>
      </c>
      <c r="F140" s="27"/>
      <c r="G140" s="208"/>
      <c r="H140" s="208"/>
      <c r="I140" s="208"/>
      <c r="J140" s="208"/>
      <c r="K140" s="192">
        <f t="shared" si="7"/>
        <v>0</v>
      </c>
      <c r="L140" s="192">
        <f t="shared" si="8"/>
        <v>0</v>
      </c>
      <c r="M140" s="192">
        <v>352.29</v>
      </c>
      <c r="N140" s="192">
        <f>+M140*1000/(104.2*4*16*60)*T140</f>
        <v>4.4022162907869484</v>
      </c>
      <c r="O140" s="192"/>
      <c r="P140" s="192">
        <f t="shared" si="9"/>
        <v>0</v>
      </c>
      <c r="Q140" s="192"/>
      <c r="R140" s="19">
        <f t="shared" si="10"/>
        <v>0</v>
      </c>
      <c r="S140" s="192">
        <f t="shared" si="11"/>
        <v>0</v>
      </c>
      <c r="T140" s="20">
        <v>5</v>
      </c>
      <c r="U140" s="20"/>
      <c r="V140" s="19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95">
        <v>300123</v>
      </c>
      <c r="B141" s="190" t="s">
        <v>118</v>
      </c>
      <c r="C141" s="226" t="s">
        <v>139</v>
      </c>
      <c r="D141" s="226" t="s">
        <v>140</v>
      </c>
      <c r="E141" s="194" t="s">
        <v>135</v>
      </c>
      <c r="F141" s="27"/>
      <c r="G141" s="208"/>
      <c r="H141" s="208"/>
      <c r="I141" s="208"/>
      <c r="J141" s="208"/>
      <c r="K141" s="192">
        <f t="shared" si="7"/>
        <v>0</v>
      </c>
      <c r="L141" s="192">
        <f t="shared" si="8"/>
        <v>0</v>
      </c>
      <c r="M141" s="192">
        <v>557</v>
      </c>
      <c r="N141" s="192">
        <f>+M141*1000/(126.5*4*15*60)*T141</f>
        <v>6.1155028546332888</v>
      </c>
      <c r="O141" s="192"/>
      <c r="P141" s="192">
        <f t="shared" si="9"/>
        <v>0</v>
      </c>
      <c r="Q141" s="192"/>
      <c r="R141" s="19">
        <f t="shared" si="10"/>
        <v>0</v>
      </c>
      <c r="S141" s="192">
        <f t="shared" si="11"/>
        <v>0</v>
      </c>
      <c r="T141" s="20">
        <v>5</v>
      </c>
      <c r="U141" s="20"/>
      <c r="V141" s="19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95">
        <v>300270</v>
      </c>
      <c r="B142" s="190" t="s">
        <v>118</v>
      </c>
      <c r="C142" s="226" t="s">
        <v>141</v>
      </c>
      <c r="D142" s="226"/>
      <c r="E142" s="194" t="s">
        <v>142</v>
      </c>
      <c r="F142" s="27"/>
      <c r="G142" s="208"/>
      <c r="H142" s="208"/>
      <c r="I142" s="208"/>
      <c r="J142" s="208"/>
      <c r="K142" s="192">
        <f t="shared" si="7"/>
        <v>0</v>
      </c>
      <c r="L142" s="192">
        <f t="shared" si="8"/>
        <v>0</v>
      </c>
      <c r="M142" s="192">
        <v>485.7</v>
      </c>
      <c r="N142" s="192">
        <f>+M142*1000/(126.5*4*15*60)*T142</f>
        <v>4.2661396574440049</v>
      </c>
      <c r="O142" s="192"/>
      <c r="P142" s="192">
        <f t="shared" si="9"/>
        <v>0</v>
      </c>
      <c r="Q142" s="192"/>
      <c r="R142" s="19">
        <f t="shared" si="10"/>
        <v>0</v>
      </c>
      <c r="S142" s="192">
        <f t="shared" si="11"/>
        <v>0</v>
      </c>
      <c r="T142" s="20">
        <v>4</v>
      </c>
      <c r="U142" s="20"/>
      <c r="V142" s="19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95">
        <v>300336</v>
      </c>
      <c r="B143" s="190" t="s">
        <v>136</v>
      </c>
      <c r="C143" s="226" t="s">
        <v>143</v>
      </c>
      <c r="D143" s="226"/>
      <c r="E143" s="194" t="s">
        <v>84</v>
      </c>
      <c r="F143" s="27"/>
      <c r="G143" s="208"/>
      <c r="H143" s="208"/>
      <c r="I143" s="208"/>
      <c r="J143" s="208"/>
      <c r="K143" s="192">
        <f t="shared" si="7"/>
        <v>0</v>
      </c>
      <c r="L143" s="192">
        <f t="shared" si="8"/>
        <v>0</v>
      </c>
      <c r="M143" s="192">
        <v>411.4</v>
      </c>
      <c r="N143" s="192">
        <f>+M143*1000/(104.2*4*16*60)*T143</f>
        <v>2.0563419705694179</v>
      </c>
      <c r="O143" s="192"/>
      <c r="P143" s="192">
        <f t="shared" si="9"/>
        <v>0</v>
      </c>
      <c r="Q143" s="192"/>
      <c r="R143" s="19">
        <f t="shared" si="10"/>
        <v>0</v>
      </c>
      <c r="S143" s="192">
        <f t="shared" si="11"/>
        <v>0</v>
      </c>
      <c r="T143" s="20">
        <v>2</v>
      </c>
      <c r="U143" s="20"/>
      <c r="V143" s="19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95">
        <v>300337</v>
      </c>
      <c r="B144" s="190" t="s">
        <v>138</v>
      </c>
      <c r="C144" s="226" t="s">
        <v>143</v>
      </c>
      <c r="D144" s="226"/>
      <c r="E144" s="194" t="s">
        <v>49</v>
      </c>
      <c r="F144" s="27"/>
      <c r="G144" s="208"/>
      <c r="H144" s="208"/>
      <c r="I144" s="208"/>
      <c r="J144" s="208"/>
      <c r="K144" s="192">
        <f t="shared" si="7"/>
        <v>0</v>
      </c>
      <c r="L144" s="192">
        <f t="shared" si="8"/>
        <v>0</v>
      </c>
      <c r="M144" s="192">
        <v>411.4</v>
      </c>
      <c r="N144" s="192">
        <f>+M144*1000/(104.2*4*16*60)*T144</f>
        <v>2.0563419705694179</v>
      </c>
      <c r="O144" s="192"/>
      <c r="P144" s="192">
        <f t="shared" si="9"/>
        <v>0</v>
      </c>
      <c r="Q144" s="192"/>
      <c r="R144" s="19">
        <f t="shared" si="10"/>
        <v>0</v>
      </c>
      <c r="S144" s="192">
        <f t="shared" si="11"/>
        <v>0</v>
      </c>
      <c r="T144" s="20">
        <v>2</v>
      </c>
      <c r="U144" s="20"/>
      <c r="V144" s="198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95">
        <v>300338</v>
      </c>
      <c r="B145" s="190" t="s">
        <v>144</v>
      </c>
      <c r="C145" s="226" t="s">
        <v>143</v>
      </c>
      <c r="D145" s="226"/>
      <c r="E145" s="194" t="s">
        <v>85</v>
      </c>
      <c r="F145" s="27"/>
      <c r="G145" s="208"/>
      <c r="H145" s="208"/>
      <c r="I145" s="208"/>
      <c r="J145" s="208"/>
      <c r="K145" s="192">
        <f t="shared" si="7"/>
        <v>0</v>
      </c>
      <c r="L145" s="192">
        <f t="shared" si="8"/>
        <v>0</v>
      </c>
      <c r="M145" s="192">
        <v>411.4</v>
      </c>
      <c r="N145" s="192">
        <f>+M145*1000/(104.2*4*16*60)*T145</f>
        <v>2.0563419705694179</v>
      </c>
      <c r="O145" s="192"/>
      <c r="P145" s="192">
        <f t="shared" si="9"/>
        <v>0</v>
      </c>
      <c r="Q145" s="192"/>
      <c r="R145" s="19">
        <f t="shared" si="10"/>
        <v>0</v>
      </c>
      <c r="S145" s="192">
        <f t="shared" si="11"/>
        <v>0</v>
      </c>
      <c r="T145" s="20">
        <v>2</v>
      </c>
      <c r="U145" s="20"/>
      <c r="V145" s="198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95">
        <v>300309</v>
      </c>
      <c r="B146" s="190">
        <v>6504</v>
      </c>
      <c r="C146" s="226" t="s">
        <v>145</v>
      </c>
      <c r="D146" s="226"/>
      <c r="E146" s="194" t="s">
        <v>47</v>
      </c>
      <c r="F146" s="27"/>
      <c r="G146" s="208"/>
      <c r="H146" s="208"/>
      <c r="I146" s="208"/>
      <c r="J146" s="208"/>
      <c r="K146" s="192">
        <f t="shared" si="7"/>
        <v>0</v>
      </c>
      <c r="L146" s="192">
        <f t="shared" si="8"/>
        <v>0</v>
      </c>
      <c r="M146" s="192">
        <v>316.88</v>
      </c>
      <c r="N146" s="15">
        <f>+M146*1000/(75.2*4*16*60)*T146</f>
        <v>6.5841090425531918</v>
      </c>
      <c r="O146" s="192"/>
      <c r="P146" s="192">
        <f t="shared" si="9"/>
        <v>0</v>
      </c>
      <c r="Q146" s="192"/>
      <c r="R146" s="19">
        <f t="shared" si="10"/>
        <v>0</v>
      </c>
      <c r="S146" s="192">
        <f t="shared" si="11"/>
        <v>0</v>
      </c>
      <c r="T146" s="20">
        <v>6</v>
      </c>
      <c r="U146" s="20"/>
      <c r="V146" s="19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95">
        <v>300310</v>
      </c>
      <c r="B147" s="190">
        <v>6504</v>
      </c>
      <c r="C147" s="226" t="s">
        <v>145</v>
      </c>
      <c r="D147" s="226"/>
      <c r="E147" s="194" t="s">
        <v>146</v>
      </c>
      <c r="F147" s="27"/>
      <c r="G147" s="208"/>
      <c r="H147" s="208"/>
      <c r="I147" s="208"/>
      <c r="J147" s="208"/>
      <c r="K147" s="192">
        <f t="shared" si="7"/>
        <v>0</v>
      </c>
      <c r="L147" s="192">
        <f t="shared" si="8"/>
        <v>0</v>
      </c>
      <c r="M147" s="192">
        <v>316.88</v>
      </c>
      <c r="N147" s="15">
        <f>+M147*1000/(75.2*4*16*60)*T147</f>
        <v>6.5841090425531918</v>
      </c>
      <c r="O147" s="192"/>
      <c r="P147" s="192">
        <f t="shared" si="9"/>
        <v>0</v>
      </c>
      <c r="Q147" s="192"/>
      <c r="R147" s="19">
        <f t="shared" si="10"/>
        <v>0</v>
      </c>
      <c r="S147" s="192">
        <f t="shared" si="11"/>
        <v>0</v>
      </c>
      <c r="T147" s="20">
        <v>6</v>
      </c>
      <c r="U147" s="20"/>
      <c r="V147" s="19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95">
        <v>300312</v>
      </c>
      <c r="B148" s="190">
        <v>6504</v>
      </c>
      <c r="C148" s="226" t="s">
        <v>145</v>
      </c>
      <c r="D148" s="226"/>
      <c r="E148" s="194" t="s">
        <v>147</v>
      </c>
      <c r="F148" s="27"/>
      <c r="G148" s="208"/>
      <c r="H148" s="208"/>
      <c r="I148" s="208"/>
      <c r="J148" s="208"/>
      <c r="K148" s="192">
        <f t="shared" si="7"/>
        <v>0</v>
      </c>
      <c r="L148" s="192">
        <f t="shared" si="8"/>
        <v>0</v>
      </c>
      <c r="M148" s="192">
        <v>316.88</v>
      </c>
      <c r="N148" s="15">
        <f>+M148*1000/(75.2*4*16*60)*T148</f>
        <v>6.5841090425531918</v>
      </c>
      <c r="O148" s="192"/>
      <c r="P148" s="192">
        <f t="shared" si="9"/>
        <v>0</v>
      </c>
      <c r="Q148" s="192"/>
      <c r="R148" s="19">
        <f t="shared" si="10"/>
        <v>0</v>
      </c>
      <c r="S148" s="192">
        <f t="shared" si="11"/>
        <v>0</v>
      </c>
      <c r="T148" s="20">
        <v>6</v>
      </c>
      <c r="U148" s="20"/>
      <c r="V148" s="19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95">
        <v>300311</v>
      </c>
      <c r="B149" s="190">
        <v>6504</v>
      </c>
      <c r="C149" s="237" t="s">
        <v>145</v>
      </c>
      <c r="D149" s="238"/>
      <c r="E149" s="194" t="s">
        <v>74</v>
      </c>
      <c r="F149" s="27"/>
      <c r="G149" s="208"/>
      <c r="H149" s="208"/>
      <c r="I149" s="208"/>
      <c r="J149" s="208"/>
      <c r="K149" s="192">
        <f t="shared" si="7"/>
        <v>0</v>
      </c>
      <c r="L149" s="192">
        <f t="shared" si="8"/>
        <v>0</v>
      </c>
      <c r="M149" s="192">
        <v>316.88</v>
      </c>
      <c r="N149" s="15">
        <f>+M149*1000/(75.2*4*16*60)*T149</f>
        <v>6.5841090425531918</v>
      </c>
      <c r="O149" s="192"/>
      <c r="P149" s="192">
        <f t="shared" si="9"/>
        <v>0</v>
      </c>
      <c r="Q149" s="192"/>
      <c r="R149" s="19">
        <f t="shared" si="10"/>
        <v>0</v>
      </c>
      <c r="S149" s="192">
        <f t="shared" si="11"/>
        <v>0</v>
      </c>
      <c r="T149" s="20">
        <v>6</v>
      </c>
      <c r="U149" s="20"/>
      <c r="V149" s="19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95">
        <v>300399</v>
      </c>
      <c r="B150" s="190">
        <v>18501</v>
      </c>
      <c r="C150" s="242" t="s">
        <v>148</v>
      </c>
      <c r="D150" s="243"/>
      <c r="E150" s="32" t="s">
        <v>41</v>
      </c>
      <c r="F150" s="27"/>
      <c r="G150" s="208"/>
      <c r="H150" s="208"/>
      <c r="I150" s="208"/>
      <c r="J150" s="208"/>
      <c r="K150" s="192">
        <f t="shared" si="7"/>
        <v>0</v>
      </c>
      <c r="L150" s="192">
        <f t="shared" si="8"/>
        <v>0</v>
      </c>
      <c r="M150" s="192">
        <v>311.2</v>
      </c>
      <c r="N150" s="40">
        <f>+M150*1000/(100*4*16*60)*T150</f>
        <v>4.8624999999999998</v>
      </c>
      <c r="O150" s="192"/>
      <c r="P150" s="192">
        <f t="shared" si="9"/>
        <v>0</v>
      </c>
      <c r="Q150" s="192"/>
      <c r="R150" s="19">
        <f t="shared" si="10"/>
        <v>0</v>
      </c>
      <c r="S150" s="192">
        <f t="shared" si="11"/>
        <v>0</v>
      </c>
      <c r="T150" s="43">
        <v>6</v>
      </c>
      <c r="U150" s="20"/>
      <c r="V150" s="198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95">
        <v>300400</v>
      </c>
      <c r="B151" s="190">
        <v>18501</v>
      </c>
      <c r="C151" s="242" t="s">
        <v>148</v>
      </c>
      <c r="D151" s="243"/>
      <c r="E151" s="32" t="s">
        <v>66</v>
      </c>
      <c r="F151" s="27"/>
      <c r="G151" s="208"/>
      <c r="H151" s="208"/>
      <c r="I151" s="208"/>
      <c r="J151" s="208"/>
      <c r="K151" s="192">
        <f t="shared" si="7"/>
        <v>0</v>
      </c>
      <c r="L151" s="192">
        <f t="shared" si="8"/>
        <v>0</v>
      </c>
      <c r="M151" s="192">
        <v>311.2</v>
      </c>
      <c r="N151" s="40">
        <f>+M151*1000/(100*4*16*60)*T151</f>
        <v>4.8624999999999998</v>
      </c>
      <c r="O151" s="192"/>
      <c r="P151" s="192">
        <f t="shared" si="9"/>
        <v>0</v>
      </c>
      <c r="Q151" s="192"/>
      <c r="R151" s="19">
        <f t="shared" si="10"/>
        <v>0</v>
      </c>
      <c r="S151" s="192">
        <f t="shared" si="11"/>
        <v>0</v>
      </c>
      <c r="T151" s="43">
        <v>6</v>
      </c>
      <c r="U151" s="20"/>
      <c r="V151" s="198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95">
        <v>300401</v>
      </c>
      <c r="B152" s="190">
        <v>18501</v>
      </c>
      <c r="C152" s="242" t="s">
        <v>148</v>
      </c>
      <c r="D152" s="243"/>
      <c r="E152" s="32" t="s">
        <v>149</v>
      </c>
      <c r="F152" s="27"/>
      <c r="G152" s="208"/>
      <c r="H152" s="208"/>
      <c r="I152" s="208"/>
      <c r="J152" s="208"/>
      <c r="K152" s="192">
        <f t="shared" si="7"/>
        <v>0</v>
      </c>
      <c r="L152" s="192">
        <f t="shared" si="8"/>
        <v>0</v>
      </c>
      <c r="M152" s="192">
        <v>311.2</v>
      </c>
      <c r="N152" s="40">
        <f>+M152*1000/(100*4*16*60)*T152</f>
        <v>4.8624999999999998</v>
      </c>
      <c r="O152" s="192"/>
      <c r="P152" s="192">
        <f t="shared" si="9"/>
        <v>0</v>
      </c>
      <c r="Q152" s="192"/>
      <c r="R152" s="19">
        <f t="shared" si="10"/>
        <v>0</v>
      </c>
      <c r="S152" s="192">
        <f t="shared" si="11"/>
        <v>0</v>
      </c>
      <c r="T152" s="43">
        <v>6</v>
      </c>
      <c r="U152" s="20"/>
      <c r="V152" s="198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95">
        <v>300402</v>
      </c>
      <c r="B153" s="190">
        <v>18501</v>
      </c>
      <c r="C153" s="242" t="s">
        <v>150</v>
      </c>
      <c r="D153" s="243"/>
      <c r="E153" s="32" t="s">
        <v>151</v>
      </c>
      <c r="F153" s="27"/>
      <c r="G153" s="208"/>
      <c r="H153" s="208"/>
      <c r="I153" s="208"/>
      <c r="J153" s="208"/>
      <c r="K153" s="192">
        <f t="shared" si="7"/>
        <v>0</v>
      </c>
      <c r="L153" s="192">
        <f t="shared" si="8"/>
        <v>0</v>
      </c>
      <c r="M153" s="192">
        <v>465.3</v>
      </c>
      <c r="N153" s="40">
        <f>+M153*1000/(137*4*16*60)*T153</f>
        <v>5.3067974452554747</v>
      </c>
      <c r="O153" s="192"/>
      <c r="P153" s="192">
        <f t="shared" si="9"/>
        <v>0</v>
      </c>
      <c r="Q153" s="192"/>
      <c r="R153" s="19">
        <f t="shared" si="10"/>
        <v>0</v>
      </c>
      <c r="S153" s="192">
        <f t="shared" si="11"/>
        <v>0</v>
      </c>
      <c r="T153" s="43">
        <v>6</v>
      </c>
      <c r="U153" s="20"/>
      <c r="V153" s="198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95">
        <v>300403</v>
      </c>
      <c r="B154" s="190">
        <v>18501</v>
      </c>
      <c r="C154" s="242" t="s">
        <v>150</v>
      </c>
      <c r="D154" s="243"/>
      <c r="E154" s="32" t="s">
        <v>152</v>
      </c>
      <c r="F154" s="27"/>
      <c r="G154" s="208"/>
      <c r="H154" s="208"/>
      <c r="I154" s="208"/>
      <c r="J154" s="208"/>
      <c r="K154" s="192">
        <f t="shared" ref="K154:K190" si="15">G154*M154</f>
        <v>0</v>
      </c>
      <c r="L154" s="192">
        <f t="shared" ref="L154:L190" si="16">I154*M154</f>
        <v>0</v>
      </c>
      <c r="M154" s="192">
        <v>465.3</v>
      </c>
      <c r="N154" s="40">
        <f>+M154*1000/(137*4*16*60)*T154</f>
        <v>5.3067974452554747</v>
      </c>
      <c r="O154" s="192"/>
      <c r="P154" s="192">
        <f t="shared" ref="P154:P190" si="17">N154*I154+O154*U154</f>
        <v>0</v>
      </c>
      <c r="Q154" s="192"/>
      <c r="R154" s="19">
        <f t="shared" ref="R154:R190" si="18">Q154*U154</f>
        <v>0</v>
      </c>
      <c r="S154" s="192">
        <f t="shared" ref="S154:S190" si="19">R154-P154</f>
        <v>0</v>
      </c>
      <c r="T154" s="43">
        <v>6</v>
      </c>
      <c r="U154" s="20"/>
      <c r="V154" s="198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95">
        <v>300404</v>
      </c>
      <c r="B155" s="190">
        <v>18501</v>
      </c>
      <c r="C155" s="242" t="s">
        <v>150</v>
      </c>
      <c r="D155" s="243"/>
      <c r="E155" s="32" t="s">
        <v>70</v>
      </c>
      <c r="F155" s="27"/>
      <c r="G155" s="208"/>
      <c r="H155" s="208"/>
      <c r="I155" s="208"/>
      <c r="J155" s="208"/>
      <c r="K155" s="192">
        <f t="shared" si="15"/>
        <v>0</v>
      </c>
      <c r="L155" s="192">
        <f t="shared" si="16"/>
        <v>0</v>
      </c>
      <c r="M155" s="192">
        <v>465.3</v>
      </c>
      <c r="N155" s="40">
        <f>+M155*1000/(137*4*16*60)*T155</f>
        <v>5.3067974452554747</v>
      </c>
      <c r="O155" s="192"/>
      <c r="P155" s="192">
        <f t="shared" si="17"/>
        <v>0</v>
      </c>
      <c r="Q155" s="192"/>
      <c r="R155" s="19">
        <f t="shared" si="18"/>
        <v>0</v>
      </c>
      <c r="S155" s="192">
        <f t="shared" si="19"/>
        <v>0</v>
      </c>
      <c r="T155" s="43">
        <v>6</v>
      </c>
      <c r="U155" s="20"/>
      <c r="V155" s="198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95">
        <v>300405</v>
      </c>
      <c r="B156" s="190">
        <v>18501</v>
      </c>
      <c r="C156" s="242" t="s">
        <v>150</v>
      </c>
      <c r="D156" s="243"/>
      <c r="E156" s="32" t="s">
        <v>35</v>
      </c>
      <c r="F156" s="27"/>
      <c r="G156" s="208"/>
      <c r="H156" s="208"/>
      <c r="I156" s="208"/>
      <c r="J156" s="208"/>
      <c r="K156" s="192">
        <f t="shared" si="15"/>
        <v>0</v>
      </c>
      <c r="L156" s="192">
        <f t="shared" si="16"/>
        <v>0</v>
      </c>
      <c r="M156" s="192">
        <v>465.3</v>
      </c>
      <c r="N156" s="40">
        <f>+M156*1000/(137*4*16*60)*T156</f>
        <v>5.3067974452554747</v>
      </c>
      <c r="O156" s="192"/>
      <c r="P156" s="192">
        <f t="shared" si="17"/>
        <v>0</v>
      </c>
      <c r="Q156" s="192"/>
      <c r="R156" s="19">
        <f t="shared" si="18"/>
        <v>0</v>
      </c>
      <c r="S156" s="192">
        <f t="shared" si="19"/>
        <v>0</v>
      </c>
      <c r="T156" s="43">
        <v>6</v>
      </c>
      <c r="U156" s="20"/>
      <c r="V156" s="198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95">
        <v>300372</v>
      </c>
      <c r="B157" s="190">
        <v>18501</v>
      </c>
      <c r="C157" s="237" t="s">
        <v>153</v>
      </c>
      <c r="D157" s="238"/>
      <c r="E157" s="194" t="s">
        <v>47</v>
      </c>
      <c r="F157" s="27"/>
      <c r="G157" s="208"/>
      <c r="H157" s="208"/>
      <c r="I157" s="208"/>
      <c r="J157" s="208"/>
      <c r="K157" s="192">
        <f t="shared" si="15"/>
        <v>0</v>
      </c>
      <c r="L157" s="192">
        <f t="shared" si="16"/>
        <v>0</v>
      </c>
      <c r="M157" s="192">
        <v>420.58</v>
      </c>
      <c r="N157" s="15">
        <f>+M157*1000/(140*4*16*60)*T157</f>
        <v>4.6939732142857142</v>
      </c>
      <c r="O157" s="192"/>
      <c r="P157" s="192">
        <f t="shared" si="17"/>
        <v>0</v>
      </c>
      <c r="Q157" s="192"/>
      <c r="R157" s="19">
        <f t="shared" si="18"/>
        <v>0</v>
      </c>
      <c r="S157" s="192">
        <f t="shared" si="19"/>
        <v>0</v>
      </c>
      <c r="T157" s="20">
        <v>6</v>
      </c>
      <c r="U157" s="20"/>
      <c r="V157" s="198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95">
        <v>300373</v>
      </c>
      <c r="B158" s="190">
        <v>18501</v>
      </c>
      <c r="C158" s="237" t="s">
        <v>153</v>
      </c>
      <c r="D158" s="238"/>
      <c r="E158" s="194" t="s">
        <v>146</v>
      </c>
      <c r="F158" s="27"/>
      <c r="G158" s="208"/>
      <c r="H158" s="208"/>
      <c r="I158" s="208"/>
      <c r="J158" s="208"/>
      <c r="K158" s="192">
        <f t="shared" si="15"/>
        <v>0</v>
      </c>
      <c r="L158" s="192">
        <f t="shared" si="16"/>
        <v>0</v>
      </c>
      <c r="M158" s="192">
        <v>420.58</v>
      </c>
      <c r="N158" s="15">
        <f>+M158*1000/(140*4*16*60)*T158</f>
        <v>4.6939732142857142</v>
      </c>
      <c r="O158" s="192"/>
      <c r="P158" s="192">
        <f t="shared" si="17"/>
        <v>0</v>
      </c>
      <c r="Q158" s="192"/>
      <c r="R158" s="19">
        <f t="shared" si="18"/>
        <v>0</v>
      </c>
      <c r="S158" s="192">
        <f t="shared" si="19"/>
        <v>0</v>
      </c>
      <c r="T158" s="20">
        <v>6</v>
      </c>
      <c r="U158" s="20"/>
      <c r="V158" s="198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95">
        <v>300374</v>
      </c>
      <c r="B159" s="190">
        <v>18501</v>
      </c>
      <c r="C159" s="237" t="s">
        <v>153</v>
      </c>
      <c r="D159" s="238"/>
      <c r="E159" s="194" t="s">
        <v>147</v>
      </c>
      <c r="F159" s="27"/>
      <c r="G159" s="208"/>
      <c r="H159" s="208"/>
      <c r="I159" s="208"/>
      <c r="J159" s="208"/>
      <c r="K159" s="192">
        <f t="shared" si="15"/>
        <v>0</v>
      </c>
      <c r="L159" s="192">
        <f t="shared" si="16"/>
        <v>0</v>
      </c>
      <c r="M159" s="192">
        <v>420.58</v>
      </c>
      <c r="N159" s="15">
        <f>+M159*1000/(140*4*16*60)*T159</f>
        <v>4.6939732142857142</v>
      </c>
      <c r="O159" s="192"/>
      <c r="P159" s="192">
        <f t="shared" si="17"/>
        <v>0</v>
      </c>
      <c r="Q159" s="192"/>
      <c r="R159" s="19">
        <f t="shared" si="18"/>
        <v>0</v>
      </c>
      <c r="S159" s="192">
        <f t="shared" si="19"/>
        <v>0</v>
      </c>
      <c r="T159" s="20">
        <v>6</v>
      </c>
      <c r="U159" s="20"/>
      <c r="V159" s="198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95">
        <v>300375</v>
      </c>
      <c r="B160" s="190">
        <v>18501</v>
      </c>
      <c r="C160" s="237" t="s">
        <v>153</v>
      </c>
      <c r="D160" s="238"/>
      <c r="E160" s="194" t="s">
        <v>74</v>
      </c>
      <c r="F160" s="27"/>
      <c r="G160" s="208"/>
      <c r="H160" s="208"/>
      <c r="I160" s="208"/>
      <c r="J160" s="208"/>
      <c r="K160" s="192">
        <f t="shared" si="15"/>
        <v>0</v>
      </c>
      <c r="L160" s="192">
        <f t="shared" si="16"/>
        <v>0</v>
      </c>
      <c r="M160" s="192">
        <v>420.58</v>
      </c>
      <c r="N160" s="15">
        <f>+M160*1000/(140*4*16*60)*T160</f>
        <v>4.6939732142857142</v>
      </c>
      <c r="O160" s="192"/>
      <c r="P160" s="192">
        <f t="shared" si="17"/>
        <v>0</v>
      </c>
      <c r="Q160" s="192"/>
      <c r="R160" s="19">
        <f t="shared" si="18"/>
        <v>0</v>
      </c>
      <c r="S160" s="192">
        <f t="shared" si="19"/>
        <v>0</v>
      </c>
      <c r="T160" s="20">
        <v>6</v>
      </c>
      <c r="U160" s="20"/>
      <c r="V160" s="198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95">
        <v>300341</v>
      </c>
      <c r="B161" s="190">
        <v>18501</v>
      </c>
      <c r="C161" s="244" t="s">
        <v>154</v>
      </c>
      <c r="D161" s="245"/>
      <c r="E161" s="194" t="s">
        <v>39</v>
      </c>
      <c r="F161" s="27"/>
      <c r="G161" s="208"/>
      <c r="H161" s="208"/>
      <c r="I161" s="208"/>
      <c r="J161" s="208"/>
      <c r="K161" s="192">
        <f t="shared" si="15"/>
        <v>0</v>
      </c>
      <c r="L161" s="192">
        <f t="shared" si="16"/>
        <v>0</v>
      </c>
      <c r="M161" s="192">
        <v>439.3</v>
      </c>
      <c r="N161" s="15">
        <f t="shared" ref="N161:N167" si="20">+M161*1000/(169.7*4*13*60)*T161</f>
        <v>4.1485351223123761</v>
      </c>
      <c r="O161" s="192"/>
      <c r="P161" s="192">
        <f t="shared" si="17"/>
        <v>0</v>
      </c>
      <c r="Q161" s="192"/>
      <c r="R161" s="19">
        <f t="shared" si="18"/>
        <v>0</v>
      </c>
      <c r="S161" s="192">
        <f t="shared" si="19"/>
        <v>0</v>
      </c>
      <c r="T161" s="20">
        <v>5</v>
      </c>
      <c r="U161" s="20"/>
      <c r="V161" s="198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95">
        <v>300342</v>
      </c>
      <c r="B162" s="190">
        <v>18501</v>
      </c>
      <c r="C162" s="244" t="s">
        <v>154</v>
      </c>
      <c r="D162" s="245"/>
      <c r="E162" s="194" t="s">
        <v>80</v>
      </c>
      <c r="F162" s="27"/>
      <c r="G162" s="208"/>
      <c r="H162" s="208"/>
      <c r="I162" s="208"/>
      <c r="J162" s="208"/>
      <c r="K162" s="192">
        <f t="shared" si="15"/>
        <v>0</v>
      </c>
      <c r="L162" s="192">
        <f t="shared" si="16"/>
        <v>0</v>
      </c>
      <c r="M162" s="192">
        <v>439.3</v>
      </c>
      <c r="N162" s="15">
        <f t="shared" si="20"/>
        <v>4.1485351223123761</v>
      </c>
      <c r="O162" s="192"/>
      <c r="P162" s="192">
        <f t="shared" si="17"/>
        <v>0</v>
      </c>
      <c r="Q162" s="192"/>
      <c r="R162" s="19">
        <f t="shared" si="18"/>
        <v>0</v>
      </c>
      <c r="S162" s="192">
        <f t="shared" si="19"/>
        <v>0</v>
      </c>
      <c r="T162" s="20">
        <v>5</v>
      </c>
      <c r="U162" s="20"/>
      <c r="V162" s="198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95">
        <v>300343</v>
      </c>
      <c r="B163" s="190">
        <v>18501</v>
      </c>
      <c r="C163" s="244" t="s">
        <v>154</v>
      </c>
      <c r="D163" s="245"/>
      <c r="E163" s="194" t="s">
        <v>35</v>
      </c>
      <c r="F163" s="27"/>
      <c r="G163" s="208"/>
      <c r="H163" s="208"/>
      <c r="I163" s="208"/>
      <c r="J163" s="208"/>
      <c r="K163" s="192">
        <f t="shared" si="15"/>
        <v>0</v>
      </c>
      <c r="L163" s="192">
        <f t="shared" si="16"/>
        <v>0</v>
      </c>
      <c r="M163" s="192">
        <v>455.4</v>
      </c>
      <c r="N163" s="15">
        <f t="shared" si="20"/>
        <v>4.3005756765332483</v>
      </c>
      <c r="O163" s="192"/>
      <c r="P163" s="192">
        <f t="shared" si="17"/>
        <v>0</v>
      </c>
      <c r="Q163" s="192"/>
      <c r="R163" s="19">
        <f t="shared" si="18"/>
        <v>0</v>
      </c>
      <c r="S163" s="192">
        <f t="shared" si="19"/>
        <v>0</v>
      </c>
      <c r="T163" s="20">
        <v>5</v>
      </c>
      <c r="U163" s="20"/>
      <c r="V163" s="198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95">
        <v>300344</v>
      </c>
      <c r="B164" s="190">
        <v>18501</v>
      </c>
      <c r="C164" s="244" t="s">
        <v>154</v>
      </c>
      <c r="D164" s="245"/>
      <c r="E164" s="194" t="s">
        <v>40</v>
      </c>
      <c r="F164" s="27"/>
      <c r="G164" s="208"/>
      <c r="H164" s="208"/>
      <c r="I164" s="208"/>
      <c r="J164" s="208"/>
      <c r="K164" s="192">
        <f t="shared" si="15"/>
        <v>0</v>
      </c>
      <c r="L164" s="192">
        <f t="shared" si="16"/>
        <v>0</v>
      </c>
      <c r="M164" s="192">
        <v>455.4</v>
      </c>
      <c r="N164" s="15">
        <f t="shared" si="20"/>
        <v>4.3005756765332483</v>
      </c>
      <c r="O164" s="192"/>
      <c r="P164" s="192">
        <f t="shared" si="17"/>
        <v>0</v>
      </c>
      <c r="Q164" s="192"/>
      <c r="R164" s="19">
        <f t="shared" si="18"/>
        <v>0</v>
      </c>
      <c r="S164" s="192">
        <f t="shared" si="19"/>
        <v>0</v>
      </c>
      <c r="T164" s="20">
        <v>5</v>
      </c>
      <c r="U164" s="20"/>
      <c r="V164" s="198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95">
        <v>300396</v>
      </c>
      <c r="B165" s="190">
        <v>18501</v>
      </c>
      <c r="C165" s="246" t="s">
        <v>155</v>
      </c>
      <c r="D165" s="247"/>
      <c r="E165" s="32" t="s">
        <v>41</v>
      </c>
      <c r="F165" s="27"/>
      <c r="G165" s="208"/>
      <c r="H165" s="208"/>
      <c r="I165" s="208"/>
      <c r="J165" s="208"/>
      <c r="K165" s="192">
        <f t="shared" si="15"/>
        <v>0</v>
      </c>
      <c r="L165" s="192">
        <f t="shared" si="16"/>
        <v>0</v>
      </c>
      <c r="M165" s="40">
        <v>417.1</v>
      </c>
      <c r="N165" s="15">
        <f t="shared" si="20"/>
        <v>3.9388891407158937</v>
      </c>
      <c r="O165" s="192"/>
      <c r="P165" s="192">
        <f t="shared" si="17"/>
        <v>0</v>
      </c>
      <c r="Q165" s="192"/>
      <c r="R165" s="19">
        <f t="shared" si="18"/>
        <v>0</v>
      </c>
      <c r="S165" s="192">
        <f t="shared" si="19"/>
        <v>0</v>
      </c>
      <c r="T165" s="20">
        <v>5</v>
      </c>
      <c r="U165" s="20"/>
      <c r="V165" s="198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95">
        <v>300397</v>
      </c>
      <c r="B166" s="190">
        <v>18501</v>
      </c>
      <c r="C166" s="246" t="s">
        <v>155</v>
      </c>
      <c r="D166" s="247"/>
      <c r="E166" s="32" t="s">
        <v>66</v>
      </c>
      <c r="F166" s="27"/>
      <c r="G166" s="208"/>
      <c r="H166" s="208"/>
      <c r="I166" s="208"/>
      <c r="J166" s="208"/>
      <c r="K166" s="192">
        <f t="shared" si="15"/>
        <v>0</v>
      </c>
      <c r="L166" s="192">
        <f t="shared" si="16"/>
        <v>0</v>
      </c>
      <c r="M166" s="40">
        <v>417.1</v>
      </c>
      <c r="N166" s="15">
        <f t="shared" si="20"/>
        <v>3.9388891407158937</v>
      </c>
      <c r="O166" s="192"/>
      <c r="P166" s="192">
        <f t="shared" si="17"/>
        <v>0</v>
      </c>
      <c r="Q166" s="192"/>
      <c r="R166" s="19">
        <f t="shared" si="18"/>
        <v>0</v>
      </c>
      <c r="S166" s="192">
        <f t="shared" si="19"/>
        <v>0</v>
      </c>
      <c r="T166" s="20">
        <v>5</v>
      </c>
      <c r="U166" s="20"/>
      <c r="V166" s="198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95">
        <v>300398</v>
      </c>
      <c r="B167" s="190">
        <v>18501</v>
      </c>
      <c r="C167" s="246" t="s">
        <v>155</v>
      </c>
      <c r="D167" s="247"/>
      <c r="E167" s="32" t="s">
        <v>149</v>
      </c>
      <c r="F167" s="27"/>
      <c r="G167" s="208"/>
      <c r="H167" s="208"/>
      <c r="I167" s="208"/>
      <c r="J167" s="208"/>
      <c r="K167" s="192">
        <f t="shared" si="15"/>
        <v>0</v>
      </c>
      <c r="L167" s="192">
        <f t="shared" si="16"/>
        <v>0</v>
      </c>
      <c r="M167" s="40">
        <v>417.1</v>
      </c>
      <c r="N167" s="15">
        <f t="shared" si="20"/>
        <v>3.9388891407158937</v>
      </c>
      <c r="O167" s="192"/>
      <c r="P167" s="192">
        <f t="shared" si="17"/>
        <v>0</v>
      </c>
      <c r="Q167" s="192"/>
      <c r="R167" s="19">
        <f t="shared" si="18"/>
        <v>0</v>
      </c>
      <c r="S167" s="192">
        <f t="shared" si="19"/>
        <v>0</v>
      </c>
      <c r="T167" s="20">
        <v>5</v>
      </c>
      <c r="U167" s="20"/>
      <c r="V167" s="198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95">
        <v>300271</v>
      </c>
      <c r="B168" s="190">
        <v>18501</v>
      </c>
      <c r="C168" s="226" t="s">
        <v>156</v>
      </c>
      <c r="D168" s="226"/>
      <c r="E168" s="194" t="s">
        <v>142</v>
      </c>
      <c r="F168" s="27"/>
      <c r="G168" s="208"/>
      <c r="H168" s="208"/>
      <c r="I168" s="208"/>
      <c r="J168" s="208"/>
      <c r="K168" s="192">
        <f t="shared" si="15"/>
        <v>0</v>
      </c>
      <c r="L168" s="192">
        <f t="shared" si="16"/>
        <v>0</v>
      </c>
      <c r="M168" s="192">
        <v>580.1</v>
      </c>
      <c r="N168" s="192">
        <f>+M168*1000/(202*4*13*60)*T168</f>
        <v>3.6817720233561819</v>
      </c>
      <c r="O168" s="192"/>
      <c r="P168" s="192">
        <f t="shared" si="17"/>
        <v>0</v>
      </c>
      <c r="Q168" s="192"/>
      <c r="R168" s="19">
        <f t="shared" si="18"/>
        <v>0</v>
      </c>
      <c r="S168" s="192">
        <f t="shared" si="19"/>
        <v>0</v>
      </c>
      <c r="T168" s="20">
        <v>4</v>
      </c>
      <c r="U168" s="20"/>
      <c r="V168" s="19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95">
        <v>300009</v>
      </c>
      <c r="B169" s="190">
        <v>18501</v>
      </c>
      <c r="C169" s="226" t="s">
        <v>157</v>
      </c>
      <c r="D169" s="226" t="s">
        <v>158</v>
      </c>
      <c r="E169" s="194" t="s">
        <v>135</v>
      </c>
      <c r="F169" s="27"/>
      <c r="G169" s="208"/>
      <c r="H169" s="208"/>
      <c r="I169" s="208"/>
      <c r="J169" s="208"/>
      <c r="K169" s="192">
        <f t="shared" si="15"/>
        <v>0</v>
      </c>
      <c r="L169" s="192">
        <f t="shared" si="16"/>
        <v>0</v>
      </c>
      <c r="M169" s="15">
        <v>520.79999999999995</v>
      </c>
      <c r="N169" s="192">
        <f>+M169*1000/(188*4*13*60)*T169</f>
        <v>5.3273322422258591</v>
      </c>
      <c r="O169" s="192"/>
      <c r="P169" s="192">
        <f t="shared" si="17"/>
        <v>0</v>
      </c>
      <c r="Q169" s="192"/>
      <c r="R169" s="19">
        <f t="shared" si="18"/>
        <v>0</v>
      </c>
      <c r="S169" s="192">
        <f t="shared" si="19"/>
        <v>0</v>
      </c>
      <c r="T169" s="20">
        <v>6</v>
      </c>
      <c r="U169" s="20"/>
      <c r="V169" s="19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95">
        <v>300010</v>
      </c>
      <c r="B170" s="190">
        <v>18501</v>
      </c>
      <c r="C170" s="226" t="s">
        <v>157</v>
      </c>
      <c r="D170" s="226" t="s">
        <v>158</v>
      </c>
      <c r="E170" s="194" t="s">
        <v>80</v>
      </c>
      <c r="F170" s="27"/>
      <c r="G170" s="208"/>
      <c r="H170" s="208"/>
      <c r="I170" s="208"/>
      <c r="J170" s="208"/>
      <c r="K170" s="192">
        <f t="shared" si="15"/>
        <v>0</v>
      </c>
      <c r="L170" s="192">
        <f t="shared" si="16"/>
        <v>0</v>
      </c>
      <c r="M170" s="15">
        <v>530.9</v>
      </c>
      <c r="N170" s="192">
        <f>+M170*1000/(188*4*13*60)*T170</f>
        <v>4.5255387343153304</v>
      </c>
      <c r="O170" s="192"/>
      <c r="P170" s="192">
        <f t="shared" si="17"/>
        <v>0</v>
      </c>
      <c r="Q170" s="192"/>
      <c r="R170" s="19">
        <f t="shared" si="18"/>
        <v>0</v>
      </c>
      <c r="S170" s="192">
        <f t="shared" si="19"/>
        <v>0</v>
      </c>
      <c r="T170" s="20">
        <v>5</v>
      </c>
      <c r="U170" s="20"/>
      <c r="V170" s="19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95">
        <v>300305</v>
      </c>
      <c r="B171" s="190">
        <v>18501</v>
      </c>
      <c r="C171" s="226" t="s">
        <v>159</v>
      </c>
      <c r="D171" s="226" t="s">
        <v>160</v>
      </c>
      <c r="E171" s="194" t="s">
        <v>57</v>
      </c>
      <c r="F171" s="27"/>
      <c r="G171" s="208"/>
      <c r="H171" s="208"/>
      <c r="I171" s="208"/>
      <c r="J171" s="208"/>
      <c r="K171" s="192">
        <f t="shared" si="15"/>
        <v>0</v>
      </c>
      <c r="L171" s="192">
        <f t="shared" si="16"/>
        <v>0</v>
      </c>
      <c r="M171" s="192">
        <v>530.20000000000005</v>
      </c>
      <c r="N171" s="192">
        <f t="shared" ref="N171:N176" si="21">+M171*1000/(202*4*13*60)*T171</f>
        <v>4.2063340949479562</v>
      </c>
      <c r="O171" s="192"/>
      <c r="P171" s="192">
        <f t="shared" si="17"/>
        <v>0</v>
      </c>
      <c r="Q171" s="192"/>
      <c r="R171" s="19">
        <f t="shared" si="18"/>
        <v>0</v>
      </c>
      <c r="S171" s="192">
        <f t="shared" si="19"/>
        <v>0</v>
      </c>
      <c r="T171" s="20">
        <v>5</v>
      </c>
      <c r="U171" s="20"/>
      <c r="V171" s="19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95">
        <v>300306</v>
      </c>
      <c r="B172" s="190">
        <v>18501</v>
      </c>
      <c r="C172" s="226" t="s">
        <v>159</v>
      </c>
      <c r="D172" s="226" t="s">
        <v>160</v>
      </c>
      <c r="E172" s="194" t="s">
        <v>117</v>
      </c>
      <c r="F172" s="27"/>
      <c r="G172" s="208"/>
      <c r="H172" s="208"/>
      <c r="I172" s="208"/>
      <c r="J172" s="208"/>
      <c r="K172" s="192">
        <f t="shared" si="15"/>
        <v>0</v>
      </c>
      <c r="L172" s="192">
        <f t="shared" si="16"/>
        <v>0</v>
      </c>
      <c r="M172" s="192">
        <v>538.79999999999995</v>
      </c>
      <c r="N172" s="192">
        <f t="shared" si="21"/>
        <v>4.2745620715917747</v>
      </c>
      <c r="O172" s="192"/>
      <c r="P172" s="192">
        <f t="shared" si="17"/>
        <v>0</v>
      </c>
      <c r="Q172" s="192"/>
      <c r="R172" s="19">
        <f t="shared" si="18"/>
        <v>0</v>
      </c>
      <c r="S172" s="192">
        <f t="shared" si="19"/>
        <v>0</v>
      </c>
      <c r="T172" s="20">
        <v>5</v>
      </c>
      <c r="U172" s="20"/>
      <c r="V172" s="19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95">
        <v>300307</v>
      </c>
      <c r="B173" s="190">
        <v>18501</v>
      </c>
      <c r="C173" s="226" t="s">
        <v>159</v>
      </c>
      <c r="D173" s="226" t="s">
        <v>160</v>
      </c>
      <c r="E173" s="194" t="s">
        <v>133</v>
      </c>
      <c r="F173" s="27"/>
      <c r="G173" s="208"/>
      <c r="H173" s="208"/>
      <c r="I173" s="208"/>
      <c r="J173" s="208"/>
      <c r="K173" s="192">
        <f t="shared" si="15"/>
        <v>0</v>
      </c>
      <c r="L173" s="192">
        <f t="shared" si="16"/>
        <v>0</v>
      </c>
      <c r="M173" s="192">
        <v>569</v>
      </c>
      <c r="N173" s="192">
        <f t="shared" si="21"/>
        <v>4.5141533384107637</v>
      </c>
      <c r="O173" s="192"/>
      <c r="P173" s="192">
        <f t="shared" si="17"/>
        <v>0</v>
      </c>
      <c r="Q173" s="192"/>
      <c r="R173" s="19">
        <f t="shared" si="18"/>
        <v>0</v>
      </c>
      <c r="S173" s="192">
        <f t="shared" si="19"/>
        <v>0</v>
      </c>
      <c r="T173" s="20">
        <v>5</v>
      </c>
      <c r="U173" s="20"/>
      <c r="V173" s="19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95">
        <v>300308</v>
      </c>
      <c r="B174" s="190">
        <v>18501</v>
      </c>
      <c r="C174" s="226" t="s">
        <v>159</v>
      </c>
      <c r="D174" s="226" t="s">
        <v>160</v>
      </c>
      <c r="E174" s="194" t="s">
        <v>132</v>
      </c>
      <c r="F174" s="27"/>
      <c r="G174" s="208"/>
      <c r="H174" s="208"/>
      <c r="I174" s="208"/>
      <c r="J174" s="208"/>
      <c r="K174" s="192">
        <f t="shared" si="15"/>
        <v>0</v>
      </c>
      <c r="L174" s="192">
        <f t="shared" si="16"/>
        <v>0</v>
      </c>
      <c r="M174" s="192">
        <v>523.6</v>
      </c>
      <c r="N174" s="192">
        <f t="shared" si="21"/>
        <v>4.1539730896166542</v>
      </c>
      <c r="O174" s="192"/>
      <c r="P174" s="192">
        <f t="shared" si="17"/>
        <v>0</v>
      </c>
      <c r="Q174" s="192"/>
      <c r="R174" s="19">
        <f t="shared" si="18"/>
        <v>0</v>
      </c>
      <c r="S174" s="192">
        <f t="shared" si="19"/>
        <v>0</v>
      </c>
      <c r="T174" s="20">
        <v>5</v>
      </c>
      <c r="U174" s="20"/>
      <c r="V174" s="19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95">
        <v>300182</v>
      </c>
      <c r="B175" s="190">
        <v>18501</v>
      </c>
      <c r="C175" s="226" t="s">
        <v>161</v>
      </c>
      <c r="D175" s="226" t="s">
        <v>160</v>
      </c>
      <c r="E175" s="194" t="s">
        <v>80</v>
      </c>
      <c r="F175" s="27"/>
      <c r="G175" s="208"/>
      <c r="H175" s="208"/>
      <c r="I175" s="208"/>
      <c r="J175" s="208"/>
      <c r="K175" s="192">
        <f t="shared" si="15"/>
        <v>0</v>
      </c>
      <c r="L175" s="192">
        <f t="shared" si="16"/>
        <v>0</v>
      </c>
      <c r="M175" s="15">
        <v>649.1</v>
      </c>
      <c r="N175" s="192">
        <f t="shared" si="21"/>
        <v>5.1496255394770252</v>
      </c>
      <c r="O175" s="192"/>
      <c r="P175" s="192">
        <f t="shared" si="17"/>
        <v>0</v>
      </c>
      <c r="Q175" s="192"/>
      <c r="R175" s="19">
        <f t="shared" si="18"/>
        <v>0</v>
      </c>
      <c r="S175" s="192">
        <f t="shared" si="19"/>
        <v>0</v>
      </c>
      <c r="T175" s="20">
        <v>5</v>
      </c>
      <c r="U175" s="20"/>
      <c r="V175" s="19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95">
        <v>300185</v>
      </c>
      <c r="B176" s="190">
        <v>18501</v>
      </c>
      <c r="C176" s="226" t="s">
        <v>161</v>
      </c>
      <c r="D176" s="226" t="s">
        <v>160</v>
      </c>
      <c r="E176" s="194" t="s">
        <v>135</v>
      </c>
      <c r="F176" s="27"/>
      <c r="G176" s="208"/>
      <c r="H176" s="208"/>
      <c r="I176" s="208"/>
      <c r="J176" s="208"/>
      <c r="K176" s="192">
        <f t="shared" si="15"/>
        <v>0</v>
      </c>
      <c r="L176" s="192">
        <f t="shared" si="16"/>
        <v>0</v>
      </c>
      <c r="M176" s="15">
        <v>638</v>
      </c>
      <c r="N176" s="192">
        <f t="shared" si="21"/>
        <v>6.0738766184310737</v>
      </c>
      <c r="O176" s="192"/>
      <c r="P176" s="192">
        <f t="shared" si="17"/>
        <v>0</v>
      </c>
      <c r="Q176" s="192"/>
      <c r="R176" s="19">
        <f t="shared" si="18"/>
        <v>0</v>
      </c>
      <c r="S176" s="192">
        <f t="shared" si="19"/>
        <v>0</v>
      </c>
      <c r="T176" s="20">
        <v>6</v>
      </c>
      <c r="U176" s="20"/>
      <c r="V176" s="19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95">
        <v>300272</v>
      </c>
      <c r="B177" s="190">
        <v>18502</v>
      </c>
      <c r="C177" s="226" t="s">
        <v>162</v>
      </c>
      <c r="D177" s="226"/>
      <c r="E177" s="194" t="s">
        <v>42</v>
      </c>
      <c r="F177" s="27"/>
      <c r="G177" s="208"/>
      <c r="H177" s="208"/>
      <c r="I177" s="208"/>
      <c r="J177" s="208"/>
      <c r="K177" s="192">
        <f t="shared" si="15"/>
        <v>0</v>
      </c>
      <c r="L177" s="192">
        <f t="shared" si="16"/>
        <v>0</v>
      </c>
      <c r="M177" s="192">
        <v>523.9</v>
      </c>
      <c r="N177" s="192">
        <f>+M177*1000/(128*4*13*60)*T177</f>
        <v>5.247395833333333</v>
      </c>
      <c r="O177" s="192"/>
      <c r="P177" s="192">
        <f t="shared" si="17"/>
        <v>0</v>
      </c>
      <c r="Q177" s="192"/>
      <c r="R177" s="19">
        <f t="shared" si="18"/>
        <v>0</v>
      </c>
      <c r="S177" s="192">
        <f t="shared" si="19"/>
        <v>0</v>
      </c>
      <c r="T177" s="20">
        <v>4</v>
      </c>
      <c r="U177" s="20"/>
      <c r="V177" s="19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95">
        <v>300273</v>
      </c>
      <c r="B178" s="190">
        <v>18502</v>
      </c>
      <c r="C178" s="226" t="s">
        <v>162</v>
      </c>
      <c r="D178" s="226"/>
      <c r="E178" s="194" t="s">
        <v>163</v>
      </c>
      <c r="F178" s="27"/>
      <c r="G178" s="208"/>
      <c r="H178" s="208"/>
      <c r="I178" s="208"/>
      <c r="J178" s="208"/>
      <c r="K178" s="192">
        <f t="shared" si="15"/>
        <v>0</v>
      </c>
      <c r="L178" s="192">
        <f t="shared" si="16"/>
        <v>0</v>
      </c>
      <c r="M178" s="192">
        <v>523.9</v>
      </c>
      <c r="N178" s="192">
        <f>+M178*1000/(128*4*13*60)*T178</f>
        <v>6.5592447916666661</v>
      </c>
      <c r="O178" s="192"/>
      <c r="P178" s="192">
        <f t="shared" si="17"/>
        <v>0</v>
      </c>
      <c r="Q178" s="192"/>
      <c r="R178" s="19">
        <f t="shared" si="18"/>
        <v>0</v>
      </c>
      <c r="S178" s="192">
        <f t="shared" si="19"/>
        <v>0</v>
      </c>
      <c r="T178" s="20">
        <v>5</v>
      </c>
      <c r="U178" s="20"/>
      <c r="V178" s="19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95">
        <v>300274</v>
      </c>
      <c r="B179" s="190">
        <v>18502</v>
      </c>
      <c r="C179" s="226" t="s">
        <v>162</v>
      </c>
      <c r="D179" s="226"/>
      <c r="E179" s="194" t="s">
        <v>146</v>
      </c>
      <c r="F179" s="27"/>
      <c r="G179" s="208"/>
      <c r="H179" s="208"/>
      <c r="I179" s="208"/>
      <c r="J179" s="208"/>
      <c r="K179" s="192">
        <f t="shared" si="15"/>
        <v>0</v>
      </c>
      <c r="L179" s="192">
        <f t="shared" si="16"/>
        <v>0</v>
      </c>
      <c r="M179" s="192">
        <v>523.9</v>
      </c>
      <c r="N179" s="192">
        <f>+M179*1000/(128*4*13*60)*T179</f>
        <v>5.247395833333333</v>
      </c>
      <c r="O179" s="192"/>
      <c r="P179" s="192">
        <f t="shared" si="17"/>
        <v>0</v>
      </c>
      <c r="Q179" s="192"/>
      <c r="R179" s="19">
        <f t="shared" si="18"/>
        <v>0</v>
      </c>
      <c r="S179" s="192">
        <f t="shared" si="19"/>
        <v>0</v>
      </c>
      <c r="T179" s="20">
        <v>4</v>
      </c>
      <c r="U179" s="20"/>
      <c r="V179" s="19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95">
        <v>300275</v>
      </c>
      <c r="B180" s="190">
        <v>18502</v>
      </c>
      <c r="C180" s="226" t="s">
        <v>162</v>
      </c>
      <c r="D180" s="226"/>
      <c r="E180" s="194" t="s">
        <v>164</v>
      </c>
      <c r="F180" s="27"/>
      <c r="G180" s="208"/>
      <c r="H180" s="208"/>
      <c r="I180" s="208"/>
      <c r="J180" s="208"/>
      <c r="K180" s="192">
        <f t="shared" si="15"/>
        <v>0</v>
      </c>
      <c r="L180" s="192">
        <f t="shared" si="16"/>
        <v>0</v>
      </c>
      <c r="M180" s="192">
        <v>523.9</v>
      </c>
      <c r="N180" s="192">
        <f>+M180*1000/(128*4*13*60)*T180</f>
        <v>5.247395833333333</v>
      </c>
      <c r="O180" s="192"/>
      <c r="P180" s="192">
        <f t="shared" si="17"/>
        <v>0</v>
      </c>
      <c r="Q180" s="192"/>
      <c r="R180" s="19">
        <f t="shared" si="18"/>
        <v>0</v>
      </c>
      <c r="S180" s="192">
        <f t="shared" si="19"/>
        <v>0</v>
      </c>
      <c r="T180" s="20">
        <v>4</v>
      </c>
      <c r="U180" s="20"/>
      <c r="V180" s="19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95">
        <v>300285</v>
      </c>
      <c r="B181" s="190">
        <v>13001</v>
      </c>
      <c r="C181" s="226" t="s">
        <v>165</v>
      </c>
      <c r="D181" s="226"/>
      <c r="E181" s="194" t="s">
        <v>37</v>
      </c>
      <c r="F181" s="27"/>
      <c r="G181" s="208"/>
      <c r="H181" s="208"/>
      <c r="I181" s="208"/>
      <c r="J181" s="208"/>
      <c r="K181" s="192">
        <f t="shared" si="15"/>
        <v>0</v>
      </c>
      <c r="L181" s="192">
        <f t="shared" si="16"/>
        <v>0</v>
      </c>
      <c r="M181" s="192">
        <v>438.7</v>
      </c>
      <c r="N181" s="192">
        <f t="shared" ref="N181:N186" si="22">+M181*1000/(90*4*18*60)*T181</f>
        <v>5.6417181069958842</v>
      </c>
      <c r="O181" s="192"/>
      <c r="P181" s="192">
        <f t="shared" si="17"/>
        <v>0</v>
      </c>
      <c r="Q181" s="192"/>
      <c r="R181" s="19">
        <f t="shared" si="18"/>
        <v>0</v>
      </c>
      <c r="S181" s="192">
        <f t="shared" si="19"/>
        <v>0</v>
      </c>
      <c r="T181" s="20">
        <v>5</v>
      </c>
      <c r="U181" s="20"/>
      <c r="V181" s="19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95">
        <v>300287</v>
      </c>
      <c r="B182" s="190">
        <v>13001</v>
      </c>
      <c r="C182" s="226" t="s">
        <v>165</v>
      </c>
      <c r="D182" s="226"/>
      <c r="E182" s="194" t="s">
        <v>57</v>
      </c>
      <c r="F182" s="27"/>
      <c r="G182" s="208"/>
      <c r="H182" s="208"/>
      <c r="I182" s="208"/>
      <c r="J182" s="208"/>
      <c r="K182" s="192">
        <f t="shared" si="15"/>
        <v>0</v>
      </c>
      <c r="L182" s="192">
        <f t="shared" si="16"/>
        <v>0</v>
      </c>
      <c r="M182" s="192">
        <v>438.7</v>
      </c>
      <c r="N182" s="192">
        <f t="shared" si="22"/>
        <v>5.6417181069958842</v>
      </c>
      <c r="O182" s="192"/>
      <c r="P182" s="192">
        <f t="shared" si="17"/>
        <v>0</v>
      </c>
      <c r="Q182" s="192"/>
      <c r="R182" s="19">
        <f t="shared" si="18"/>
        <v>0</v>
      </c>
      <c r="S182" s="192">
        <f t="shared" si="19"/>
        <v>0</v>
      </c>
      <c r="T182" s="20">
        <v>5</v>
      </c>
      <c r="U182" s="20"/>
      <c r="V182" s="19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95">
        <v>300284</v>
      </c>
      <c r="B183" s="190">
        <v>13001</v>
      </c>
      <c r="C183" s="226" t="s">
        <v>165</v>
      </c>
      <c r="D183" s="226"/>
      <c r="E183" s="194" t="s">
        <v>41</v>
      </c>
      <c r="F183" s="27"/>
      <c r="G183" s="208"/>
      <c r="H183" s="208"/>
      <c r="I183" s="208"/>
      <c r="J183" s="208"/>
      <c r="K183" s="192">
        <f t="shared" si="15"/>
        <v>0</v>
      </c>
      <c r="L183" s="192">
        <f t="shared" si="16"/>
        <v>0</v>
      </c>
      <c r="M183" s="192">
        <v>438.7</v>
      </c>
      <c r="N183" s="192">
        <f t="shared" si="22"/>
        <v>5.6417181069958842</v>
      </c>
      <c r="O183" s="192"/>
      <c r="P183" s="192">
        <f t="shared" si="17"/>
        <v>0</v>
      </c>
      <c r="Q183" s="192"/>
      <c r="R183" s="19">
        <f t="shared" si="18"/>
        <v>0</v>
      </c>
      <c r="S183" s="192">
        <f t="shared" si="19"/>
        <v>0</v>
      </c>
      <c r="T183" s="20">
        <v>5</v>
      </c>
      <c r="U183" s="20"/>
      <c r="V183" s="19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95">
        <v>300283</v>
      </c>
      <c r="B184" s="190">
        <v>13001</v>
      </c>
      <c r="C184" s="226" t="s">
        <v>165</v>
      </c>
      <c r="D184" s="226"/>
      <c r="E184" s="194" t="s">
        <v>35</v>
      </c>
      <c r="F184" s="27"/>
      <c r="G184" s="208"/>
      <c r="H184" s="208"/>
      <c r="I184" s="208"/>
      <c r="J184" s="208"/>
      <c r="K184" s="205">
        <f t="shared" si="15"/>
        <v>0</v>
      </c>
      <c r="L184" s="205">
        <f t="shared" si="16"/>
        <v>0</v>
      </c>
      <c r="M184" s="192">
        <v>438.7</v>
      </c>
      <c r="N184" s="192">
        <f t="shared" si="22"/>
        <v>5.6417181069958842</v>
      </c>
      <c r="O184" s="205"/>
      <c r="P184" s="192">
        <f t="shared" si="17"/>
        <v>0</v>
      </c>
      <c r="Q184" s="192"/>
      <c r="R184" s="19">
        <f t="shared" si="18"/>
        <v>0</v>
      </c>
      <c r="S184" s="192">
        <f t="shared" si="19"/>
        <v>0</v>
      </c>
      <c r="T184" s="20">
        <v>5</v>
      </c>
      <c r="U184" s="20"/>
      <c r="V184" s="19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95">
        <v>300289</v>
      </c>
      <c r="B185" s="190">
        <v>13001</v>
      </c>
      <c r="C185" s="226" t="s">
        <v>165</v>
      </c>
      <c r="D185" s="226"/>
      <c r="E185" s="194" t="s">
        <v>66</v>
      </c>
      <c r="F185" s="27"/>
      <c r="G185" s="208"/>
      <c r="H185" s="208"/>
      <c r="I185" s="208"/>
      <c r="J185" s="208"/>
      <c r="K185" s="205">
        <f t="shared" si="15"/>
        <v>0</v>
      </c>
      <c r="L185" s="205">
        <f t="shared" si="16"/>
        <v>0</v>
      </c>
      <c r="M185" s="192">
        <v>438.7</v>
      </c>
      <c r="N185" s="192">
        <f t="shared" si="22"/>
        <v>5.6417181069958842</v>
      </c>
      <c r="O185" s="205"/>
      <c r="P185" s="192">
        <f t="shared" si="17"/>
        <v>0</v>
      </c>
      <c r="Q185" s="192"/>
      <c r="R185" s="19">
        <f t="shared" si="18"/>
        <v>0</v>
      </c>
      <c r="S185" s="192">
        <f t="shared" si="19"/>
        <v>0</v>
      </c>
      <c r="T185" s="20">
        <v>5</v>
      </c>
      <c r="U185" s="20"/>
      <c r="V185" s="19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95">
        <v>300288</v>
      </c>
      <c r="B186" s="190">
        <v>13001</v>
      </c>
      <c r="C186" s="226" t="s">
        <v>165</v>
      </c>
      <c r="D186" s="226"/>
      <c r="E186" s="194" t="s">
        <v>166</v>
      </c>
      <c r="F186" s="27"/>
      <c r="G186" s="208"/>
      <c r="H186" s="208"/>
      <c r="I186" s="208"/>
      <c r="J186" s="208"/>
      <c r="K186" s="192">
        <f t="shared" si="15"/>
        <v>0</v>
      </c>
      <c r="L186" s="192">
        <f t="shared" si="16"/>
        <v>0</v>
      </c>
      <c r="M186" s="192">
        <v>438.7</v>
      </c>
      <c r="N186" s="192">
        <f t="shared" si="22"/>
        <v>5.6417181069958842</v>
      </c>
      <c r="O186" s="192"/>
      <c r="P186" s="192">
        <f t="shared" si="17"/>
        <v>0</v>
      </c>
      <c r="Q186" s="192"/>
      <c r="R186" s="19">
        <f t="shared" si="18"/>
        <v>0</v>
      </c>
      <c r="S186" s="192">
        <f t="shared" si="19"/>
        <v>0</v>
      </c>
      <c r="T186" s="20">
        <v>5</v>
      </c>
      <c r="U186" s="20"/>
      <c r="V186" s="19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99">
        <v>300355</v>
      </c>
      <c r="B187" s="190">
        <v>13002</v>
      </c>
      <c r="C187" s="237" t="s">
        <v>168</v>
      </c>
      <c r="D187" s="238"/>
      <c r="E187" s="33" t="s">
        <v>35</v>
      </c>
      <c r="F187" s="27"/>
      <c r="G187" s="208">
        <v>5</v>
      </c>
      <c r="H187" s="208"/>
      <c r="I187" s="208">
        <v>5</v>
      </c>
      <c r="J187" s="208"/>
      <c r="K187" s="205">
        <f t="shared" si="15"/>
        <v>2190</v>
      </c>
      <c r="L187" s="192">
        <f t="shared" si="16"/>
        <v>2190</v>
      </c>
      <c r="M187" s="192">
        <v>438</v>
      </c>
      <c r="N187" s="15">
        <f>+M187*1000/(110*4*18*60)*T187</f>
        <v>4.6085858585858581</v>
      </c>
      <c r="O187" s="192"/>
      <c r="P187" s="192">
        <f t="shared" si="17"/>
        <v>23.042929292929291</v>
      </c>
      <c r="Q187" s="192">
        <v>5</v>
      </c>
      <c r="R187" s="19">
        <f t="shared" si="18"/>
        <v>20</v>
      </c>
      <c r="S187" s="192">
        <f t="shared" si="19"/>
        <v>-3.0429292929292906</v>
      </c>
      <c r="T187" s="20">
        <v>5</v>
      </c>
      <c r="U187" s="20">
        <v>4</v>
      </c>
      <c r="V187" s="198">
        <f t="array" ref="V187">IF(ISERROR(L187/K187),"",L187/K187)</f>
        <v>1</v>
      </c>
      <c r="W187" s="20"/>
      <c r="X187" s="20"/>
      <c r="Y187" s="20"/>
      <c r="Z187" s="20"/>
      <c r="AA187" s="20">
        <v>3</v>
      </c>
      <c r="AB187" s="20"/>
      <c r="AC187" s="20"/>
    </row>
    <row r="188" spans="1:29" s="2" customFormat="1" ht="21.95" hidden="1" customHeight="1">
      <c r="A188" s="199">
        <v>300356</v>
      </c>
      <c r="B188" s="190" t="s">
        <v>169</v>
      </c>
      <c r="C188" s="237" t="s">
        <v>168</v>
      </c>
      <c r="D188" s="238"/>
      <c r="E188" s="191" t="s">
        <v>41</v>
      </c>
      <c r="F188" s="27"/>
      <c r="G188" s="208"/>
      <c r="H188" s="208"/>
      <c r="I188" s="208"/>
      <c r="J188" s="208"/>
      <c r="K188" s="205">
        <f t="shared" si="15"/>
        <v>0</v>
      </c>
      <c r="L188" s="192">
        <f t="shared" si="16"/>
        <v>0</v>
      </c>
      <c r="M188" s="192">
        <v>438</v>
      </c>
      <c r="N188" s="15">
        <f>+M188*1000/(110*4*18*60)*T188</f>
        <v>4.6085858585858581</v>
      </c>
      <c r="O188" s="192"/>
      <c r="P188" s="192">
        <f t="shared" si="17"/>
        <v>0</v>
      </c>
      <c r="Q188" s="192"/>
      <c r="R188" s="19">
        <f t="shared" si="18"/>
        <v>0</v>
      </c>
      <c r="S188" s="192">
        <f t="shared" si="19"/>
        <v>0</v>
      </c>
      <c r="T188" s="20">
        <v>5</v>
      </c>
      <c r="U188" s="20"/>
      <c r="V188" s="19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99">
        <v>300357</v>
      </c>
      <c r="B189" s="190">
        <v>13002</v>
      </c>
      <c r="C189" s="237" t="s">
        <v>168</v>
      </c>
      <c r="D189" s="238"/>
      <c r="E189" s="191" t="s">
        <v>37</v>
      </c>
      <c r="F189" s="27"/>
      <c r="G189" s="208">
        <v>5</v>
      </c>
      <c r="H189" s="208"/>
      <c r="I189" s="208">
        <f>5-(80/500)</f>
        <v>4.84</v>
      </c>
      <c r="J189" s="208">
        <v>80</v>
      </c>
      <c r="K189" s="205">
        <f t="shared" si="15"/>
        <v>2190</v>
      </c>
      <c r="L189" s="192">
        <f t="shared" si="16"/>
        <v>2119.92</v>
      </c>
      <c r="M189" s="192">
        <v>438</v>
      </c>
      <c r="N189" s="15">
        <f>+M189*1000/(110*4*18*60)*T189</f>
        <v>4.6085858585858581</v>
      </c>
      <c r="O189" s="192">
        <v>0.5</v>
      </c>
      <c r="P189" s="192">
        <f t="shared" si="17"/>
        <v>24.305555555555554</v>
      </c>
      <c r="Q189" s="192">
        <v>3</v>
      </c>
      <c r="R189" s="19">
        <f t="shared" si="18"/>
        <v>12</v>
      </c>
      <c r="S189" s="192">
        <f t="shared" si="19"/>
        <v>-12.305555555555554</v>
      </c>
      <c r="T189" s="20">
        <v>5</v>
      </c>
      <c r="U189" s="20">
        <v>4</v>
      </c>
      <c r="V189" s="198">
        <f t="array" ref="V189">IF(ISERROR(L189/K189),"",L189/K189)</f>
        <v>0.96800000000000008</v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99">
        <v>300358</v>
      </c>
      <c r="B190" s="190" t="s">
        <v>171</v>
      </c>
      <c r="C190" s="237" t="s">
        <v>168</v>
      </c>
      <c r="D190" s="238"/>
      <c r="E190" s="191" t="s">
        <v>66</v>
      </c>
      <c r="F190" s="27"/>
      <c r="G190" s="192"/>
      <c r="H190" s="192"/>
      <c r="I190" s="110"/>
      <c r="J190" s="110"/>
      <c r="K190" s="205">
        <f t="shared" si="15"/>
        <v>0</v>
      </c>
      <c r="L190" s="192">
        <f t="shared" si="16"/>
        <v>0</v>
      </c>
      <c r="M190" s="192">
        <v>438</v>
      </c>
      <c r="N190" s="15">
        <f>+M190*1000/(110*4*18*60)*T190</f>
        <v>4.6085858585858581</v>
      </c>
      <c r="O190" s="192"/>
      <c r="P190" s="192">
        <f t="shared" si="17"/>
        <v>0</v>
      </c>
      <c r="Q190" s="192"/>
      <c r="R190" s="19">
        <f t="shared" si="18"/>
        <v>0</v>
      </c>
      <c r="S190" s="192">
        <f t="shared" si="19"/>
        <v>0</v>
      </c>
      <c r="T190" s="20">
        <v>5</v>
      </c>
      <c r="U190" s="20"/>
      <c r="V190" s="19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95">
        <v>300438</v>
      </c>
      <c r="B191" s="190" t="s">
        <v>87</v>
      </c>
      <c r="C191" s="226" t="s">
        <v>312</v>
      </c>
      <c r="D191" s="226" t="s">
        <v>89</v>
      </c>
      <c r="E191" s="194" t="s">
        <v>35</v>
      </c>
      <c r="F191" s="13"/>
      <c r="G191" s="110"/>
      <c r="H191" s="110"/>
      <c r="I191" s="110"/>
      <c r="J191" s="110"/>
      <c r="K191" s="192">
        <f>G191*M191</f>
        <v>0</v>
      </c>
      <c r="L191" s="192">
        <f>I191*M191</f>
        <v>0</v>
      </c>
      <c r="M191" s="192">
        <v>336.6</v>
      </c>
      <c r="N191" s="192">
        <f>+M191*1000/(45*10*18*60)*T191</f>
        <v>1.3851851851851851</v>
      </c>
      <c r="O191" s="192"/>
      <c r="P191" s="192">
        <f>N191*I191+O191*U191</f>
        <v>0</v>
      </c>
      <c r="Q191" s="192"/>
      <c r="R191" s="19">
        <f>Q191*U191</f>
        <v>0</v>
      </c>
      <c r="S191" s="192">
        <f>R191-P191</f>
        <v>0</v>
      </c>
      <c r="T191" s="20">
        <v>2</v>
      </c>
      <c r="U191" s="20"/>
      <c r="V191" s="198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95">
        <v>300439</v>
      </c>
      <c r="B192" s="190" t="s">
        <v>87</v>
      </c>
      <c r="C192" s="226" t="s">
        <v>312</v>
      </c>
      <c r="D192" s="226" t="s">
        <v>89</v>
      </c>
      <c r="E192" s="194" t="s">
        <v>66</v>
      </c>
      <c r="F192" s="13"/>
      <c r="G192" s="110"/>
      <c r="H192" s="110"/>
      <c r="I192" s="110"/>
      <c r="J192" s="110"/>
      <c r="K192" s="192">
        <f>G192*M192</f>
        <v>0</v>
      </c>
      <c r="L192" s="192">
        <f>I192*M192</f>
        <v>0</v>
      </c>
      <c r="M192" s="192">
        <v>336.6</v>
      </c>
      <c r="N192" s="192">
        <f>+M192*1000/(45*10*18*60)*T192</f>
        <v>1.3851851851851851</v>
      </c>
      <c r="O192" s="192"/>
      <c r="P192" s="192">
        <f>N192*I192+O192*U192</f>
        <v>0</v>
      </c>
      <c r="Q192" s="192"/>
      <c r="R192" s="19">
        <f>Q192*U192</f>
        <v>0</v>
      </c>
      <c r="S192" s="192">
        <f>R192-P192</f>
        <v>0</v>
      </c>
      <c r="T192" s="20">
        <v>2</v>
      </c>
      <c r="U192" s="20"/>
      <c r="V192" s="198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95">
        <v>300440</v>
      </c>
      <c r="B193" s="190" t="s">
        <v>87</v>
      </c>
      <c r="C193" s="226" t="s">
        <v>312</v>
      </c>
      <c r="D193" s="226" t="s">
        <v>89</v>
      </c>
      <c r="E193" s="194" t="s">
        <v>41</v>
      </c>
      <c r="F193" s="13"/>
      <c r="G193" s="110"/>
      <c r="H193" s="110"/>
      <c r="I193" s="110"/>
      <c r="J193" s="110"/>
      <c r="K193" s="192">
        <f>G193*M193</f>
        <v>0</v>
      </c>
      <c r="L193" s="192">
        <f>I193*M193</f>
        <v>0</v>
      </c>
      <c r="M193" s="192">
        <v>336.6</v>
      </c>
      <c r="N193" s="192">
        <f>+M193*1000/(45*10*18*60)*T193</f>
        <v>1.3851851851851851</v>
      </c>
      <c r="O193" s="192"/>
      <c r="P193" s="192">
        <f>N193*I193+O193*U193</f>
        <v>0</v>
      </c>
      <c r="Q193" s="192"/>
      <c r="R193" s="19">
        <f>Q193*U193</f>
        <v>0</v>
      </c>
      <c r="S193" s="192">
        <f>R193-P193</f>
        <v>0</v>
      </c>
      <c r="T193" s="20">
        <v>2</v>
      </c>
      <c r="U193" s="20"/>
      <c r="V193" s="198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95">
        <v>300441</v>
      </c>
      <c r="B194" s="190" t="s">
        <v>87</v>
      </c>
      <c r="C194" s="226" t="s">
        <v>312</v>
      </c>
      <c r="D194" s="226" t="s">
        <v>89</v>
      </c>
      <c r="E194" s="194" t="s">
        <v>37</v>
      </c>
      <c r="F194" s="13"/>
      <c r="G194" s="110"/>
      <c r="H194" s="110"/>
      <c r="I194" s="110"/>
      <c r="J194" s="110"/>
      <c r="K194" s="192">
        <f>G194*M194</f>
        <v>0</v>
      </c>
      <c r="L194" s="192">
        <f>I194*M194</f>
        <v>0</v>
      </c>
      <c r="M194" s="192">
        <v>336.6</v>
      </c>
      <c r="N194" s="192">
        <f>+M194*1000/(45*10*18*60)*T194</f>
        <v>1.3851851851851851</v>
      </c>
      <c r="O194" s="192"/>
      <c r="P194" s="192">
        <f>N194*I194+O194*U194</f>
        <v>0</v>
      </c>
      <c r="Q194" s="192"/>
      <c r="R194" s="19">
        <f>Q194*U194</f>
        <v>0</v>
      </c>
      <c r="S194" s="192">
        <f>R194-P194</f>
        <v>0</v>
      </c>
      <c r="T194" s="20">
        <v>2</v>
      </c>
      <c r="U194" s="20"/>
      <c r="V194" s="198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99">
        <v>300406</v>
      </c>
      <c r="B195" s="190" t="s">
        <v>171</v>
      </c>
      <c r="C195" s="237" t="s">
        <v>172</v>
      </c>
      <c r="D195" s="238"/>
      <c r="E195" s="191" t="s">
        <v>149</v>
      </c>
      <c r="F195" s="27"/>
      <c r="G195" s="67"/>
      <c r="H195" s="67"/>
      <c r="I195" s="110"/>
      <c r="J195" s="110"/>
      <c r="K195" s="205">
        <f t="shared" ref="K195:K198" si="23">G195*M195</f>
        <v>0</v>
      </c>
      <c r="L195" s="192">
        <f t="shared" ref="L195:L198" si="24">I195*M195</f>
        <v>0</v>
      </c>
      <c r="M195" s="192">
        <v>628.29999999999995</v>
      </c>
      <c r="N195" s="15">
        <f>+M195*1000/(132*4*18*60)*T195</f>
        <v>5.5090838945005611</v>
      </c>
      <c r="O195" s="192"/>
      <c r="P195" s="192">
        <f t="shared" ref="P195:P198" si="25">N195*I195+O195*U195</f>
        <v>0</v>
      </c>
      <c r="Q195" s="192"/>
      <c r="R195" s="19">
        <f t="shared" ref="R195:R198" si="26">Q195*U195</f>
        <v>0</v>
      </c>
      <c r="S195" s="192">
        <f t="shared" ref="S195:S198" si="27">R195-P195</f>
        <v>0</v>
      </c>
      <c r="T195" s="20">
        <v>5</v>
      </c>
      <c r="U195" s="20"/>
      <c r="V195" s="19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99">
        <v>300407</v>
      </c>
      <c r="B196" s="190" t="s">
        <v>171</v>
      </c>
      <c r="C196" s="237" t="s">
        <v>172</v>
      </c>
      <c r="D196" s="238"/>
      <c r="E196" s="191" t="s">
        <v>173</v>
      </c>
      <c r="F196" s="27"/>
      <c r="G196" s="67"/>
      <c r="H196" s="67"/>
      <c r="I196" s="110"/>
      <c r="J196" s="110"/>
      <c r="K196" s="205">
        <f t="shared" si="23"/>
        <v>0</v>
      </c>
      <c r="L196" s="192">
        <f t="shared" si="24"/>
        <v>0</v>
      </c>
      <c r="M196" s="192">
        <v>628.29999999999995</v>
      </c>
      <c r="N196" s="15">
        <f>+M196*1000/(132*4*18*60)*T196</f>
        <v>5.5090838945005611</v>
      </c>
      <c r="O196" s="192"/>
      <c r="P196" s="192">
        <f t="shared" si="25"/>
        <v>0</v>
      </c>
      <c r="Q196" s="192"/>
      <c r="R196" s="19">
        <f t="shared" si="26"/>
        <v>0</v>
      </c>
      <c r="S196" s="192">
        <f t="shared" si="27"/>
        <v>0</v>
      </c>
      <c r="T196" s="20">
        <v>5</v>
      </c>
      <c r="U196" s="20"/>
      <c r="V196" s="19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99">
        <v>300408</v>
      </c>
      <c r="B197" s="190" t="s">
        <v>171</v>
      </c>
      <c r="C197" s="237" t="s">
        <v>172</v>
      </c>
      <c r="D197" s="238"/>
      <c r="E197" s="191" t="s">
        <v>41</v>
      </c>
      <c r="F197" s="27"/>
      <c r="G197" s="67"/>
      <c r="H197" s="67"/>
      <c r="I197" s="110"/>
      <c r="J197" s="110"/>
      <c r="K197" s="205">
        <f t="shared" si="23"/>
        <v>0</v>
      </c>
      <c r="L197" s="192">
        <f t="shared" si="24"/>
        <v>0</v>
      </c>
      <c r="M197" s="192">
        <v>628.29999999999995</v>
      </c>
      <c r="N197" s="15">
        <f>+M197*1000/(132*4*18*60)*T197</f>
        <v>5.5090838945005611</v>
      </c>
      <c r="O197" s="192"/>
      <c r="P197" s="192">
        <f t="shared" si="25"/>
        <v>0</v>
      </c>
      <c r="Q197" s="192"/>
      <c r="R197" s="19">
        <f t="shared" si="26"/>
        <v>0</v>
      </c>
      <c r="S197" s="192">
        <f t="shared" si="27"/>
        <v>0</v>
      </c>
      <c r="T197" s="20">
        <v>5</v>
      </c>
      <c r="U197" s="20"/>
      <c r="V197" s="19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99">
        <v>300409</v>
      </c>
      <c r="B198" s="190" t="s">
        <v>171</v>
      </c>
      <c r="C198" s="237" t="s">
        <v>172</v>
      </c>
      <c r="D198" s="238"/>
      <c r="E198" s="191" t="s">
        <v>174</v>
      </c>
      <c r="F198" s="27"/>
      <c r="G198" s="67"/>
      <c r="H198" s="67"/>
      <c r="I198" s="110"/>
      <c r="J198" s="110"/>
      <c r="K198" s="205">
        <f t="shared" si="23"/>
        <v>0</v>
      </c>
      <c r="L198" s="192">
        <f t="shared" si="24"/>
        <v>0</v>
      </c>
      <c r="M198" s="192">
        <v>628.29999999999995</v>
      </c>
      <c r="N198" s="15">
        <f>+M198*1000/(132*4*18*60)*T198</f>
        <v>5.5090838945005611</v>
      </c>
      <c r="O198" s="192"/>
      <c r="P198" s="192">
        <f t="shared" si="25"/>
        <v>0</v>
      </c>
      <c r="Q198" s="192"/>
      <c r="R198" s="19">
        <f t="shared" si="26"/>
        <v>0</v>
      </c>
      <c r="S198" s="192">
        <f t="shared" si="27"/>
        <v>0</v>
      </c>
      <c r="T198" s="20">
        <v>5</v>
      </c>
      <c r="U198" s="20"/>
      <c r="V198" s="19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92">
        <f t="array" ref="G199">SUM(IF(ISERROR(G6:G198),“”,G6:G198))</f>
        <v>28</v>
      </c>
      <c r="H199" s="192">
        <f t="array" ref="H199">SUM(IF(ISERROR(H6:H198),“”,H6:H198))</f>
        <v>0</v>
      </c>
      <c r="I199" s="192">
        <f t="array" ref="I199">SUM(IF(ISERROR(I6:I198),“”,I6:I198))</f>
        <v>27.596666666666668</v>
      </c>
      <c r="J199" s="192">
        <f t="array" ref="J199">SUM(IF(ISERROR(J6:J198),“”,J6:J198))</f>
        <v>210</v>
      </c>
      <c r="K199" s="192">
        <f t="array" ref="K199">SUM(IF(ISERROR(K6:K198),“”,K6:K198))</f>
        <v>13573.8</v>
      </c>
      <c r="L199" s="56">
        <f>SUM(L6:L198)</f>
        <v>13368.234</v>
      </c>
      <c r="M199" s="192"/>
      <c r="N199" s="192"/>
      <c r="O199" s="192">
        <f>SUM(O6:O190)</f>
        <v>1</v>
      </c>
      <c r="P199" s="56">
        <f>SUM((P6:P190),(W204:X209))</f>
        <v>216.17466627801608</v>
      </c>
      <c r="Q199" s="192"/>
      <c r="R199" s="56">
        <f>SUM((R6:R190),(Y204:Z209))</f>
        <v>163</v>
      </c>
      <c r="S199" s="192">
        <f t="array" ref="S199">SUM(IF(ISERROR(S6:S198),“”,S6:S198))</f>
        <v>-31.174666278016076</v>
      </c>
      <c r="T199" s="192"/>
      <c r="U199" s="192"/>
      <c r="V199" s="198">
        <f>IF(ISERROR(L199/K199),"",L199/K199)</f>
        <v>0.98485567784997574</v>
      </c>
      <c r="W199" s="192">
        <f t="array" ref="W199">SUM(IF(ISERROR(W6:W198),“”,W6:W198))</f>
        <v>0</v>
      </c>
      <c r="X199" s="192">
        <f t="array" ref="X199">SUM(IF(ISERROR(X6:X198),“”,X6:X198))</f>
        <v>0</v>
      </c>
      <c r="Y199" s="192">
        <f t="array" ref="Y199">SUM(IF(ISERROR(Y6:Y198),“”,Y6:Y198))</f>
        <v>0</v>
      </c>
      <c r="Z199" s="192">
        <f t="array" ref="Z199">SUM(IF(ISERROR(Z6:Z198),“”,Z6:Z198))</f>
        <v>0</v>
      </c>
      <c r="AA199" s="192">
        <f t="array" ref="AA199">SUM(IF(ISERROR(AA6:AA198),“”,AA6:AA198))</f>
        <v>7</v>
      </c>
      <c r="AB199" s="192">
        <f t="array" ref="AB199">SUM(IF(ISERROR(AB6:AB198),“”,AB6:AB198))</f>
        <v>0</v>
      </c>
      <c r="AC199" s="19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>
        <f>IF(ISERROR(P199/R199),"",P199/R199)</f>
        <v>1.3262249464908962</v>
      </c>
      <c r="P200" s="252"/>
      <c r="Q200" s="252"/>
      <c r="R200" s="253"/>
      <c r="S200" s="44"/>
      <c r="T200" s="45"/>
      <c r="U200" s="45"/>
      <c r="V200" s="45"/>
      <c r="W200" s="254">
        <f>SUM(W199:AC199)</f>
        <v>7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>
        <v>0</v>
      </c>
      <c r="F202" s="257"/>
      <c r="G202" s="257">
        <v>0</v>
      </c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>
        <v>2697.1</v>
      </c>
      <c r="F203" s="257"/>
      <c r="G203" s="257">
        <v>2837.1</v>
      </c>
      <c r="H203" s="257"/>
      <c r="I203" s="257">
        <f>G203-E203</f>
        <v>140</v>
      </c>
      <c r="J203" s="257"/>
      <c r="K203" s="259">
        <f t="array" ref="K203">IF(ISERROR(I203/E203),"",I203/E203)</f>
        <v>5.1907604464053986E-2</v>
      </c>
      <c r="L203" s="259"/>
      <c r="M203" s="244"/>
      <c r="N203" s="245"/>
      <c r="O203" s="260"/>
      <c r="P203" s="260"/>
      <c r="Q203" s="261" t="s">
        <v>193</v>
      </c>
      <c r="R203" s="261"/>
      <c r="S203" s="262">
        <v>8</v>
      </c>
      <c r="T203" s="262"/>
      <c r="U203" s="262">
        <f>2+4+4</f>
        <v>10</v>
      </c>
      <c r="V203" s="262"/>
      <c r="W203" s="261">
        <f t="shared" ref="W203:W210" si="28">S203*11</f>
        <v>88</v>
      </c>
      <c r="X203" s="261"/>
      <c r="Y203" s="261">
        <f t="shared" ref="Y203:Y210" si="29">U203*11</f>
        <v>110</v>
      </c>
      <c r="Z203" s="261"/>
      <c r="AA203" s="261">
        <f t="shared" ref="AA203:AA210" si="30">Y203-W203</f>
        <v>22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>
        <v>0</v>
      </c>
      <c r="F204" s="257"/>
      <c r="G204" s="257">
        <v>0</v>
      </c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>
        <v>2</v>
      </c>
      <c r="T204" s="262"/>
      <c r="U204" s="262">
        <v>3</v>
      </c>
      <c r="V204" s="262"/>
      <c r="W204" s="261">
        <f t="shared" si="28"/>
        <v>22</v>
      </c>
      <c r="X204" s="261"/>
      <c r="Y204" s="261">
        <f t="shared" si="29"/>
        <v>33</v>
      </c>
      <c r="Z204" s="261"/>
      <c r="AA204" s="261">
        <f t="shared" si="30"/>
        <v>11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336">
        <v>0.75</v>
      </c>
      <c r="T205" s="337"/>
      <c r="U205" s="262">
        <v>0</v>
      </c>
      <c r="V205" s="262"/>
      <c r="W205" s="261">
        <f t="shared" si="28"/>
        <v>8.25</v>
      </c>
      <c r="X205" s="261"/>
      <c r="Y205" s="261">
        <f t="shared" si="29"/>
        <v>0</v>
      </c>
      <c r="Z205" s="261"/>
      <c r="AA205" s="261">
        <f t="shared" si="30"/>
        <v>-8.25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97">
        <v>5</v>
      </c>
      <c r="G206" s="263">
        <v>147199</v>
      </c>
      <c r="H206" s="264"/>
      <c r="I206" s="265">
        <v>147165</v>
      </c>
      <c r="J206" s="266"/>
      <c r="K206" s="267">
        <f>G206-I206</f>
        <v>34</v>
      </c>
      <c r="L206" s="267"/>
      <c r="M206" s="268">
        <f t="array" ref="M206">IF(ISERROR(K206/L199),"",K206/(L199/1000))</f>
        <v>2.54334267338528</v>
      </c>
      <c r="N206" s="268"/>
      <c r="O206" s="260"/>
      <c r="P206" s="260"/>
      <c r="Q206" s="261" t="s">
        <v>205</v>
      </c>
      <c r="R206" s="261"/>
      <c r="S206" s="336">
        <v>0.75</v>
      </c>
      <c r="T206" s="337"/>
      <c r="U206" s="262">
        <v>1</v>
      </c>
      <c r="V206" s="262"/>
      <c r="W206" s="261">
        <f t="shared" si="28"/>
        <v>8.25</v>
      </c>
      <c r="X206" s="261"/>
      <c r="Y206" s="261">
        <f t="shared" si="29"/>
        <v>11</v>
      </c>
      <c r="Z206" s="261"/>
      <c r="AA206" s="261">
        <f t="shared" si="30"/>
        <v>2.75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97">
        <v>105</v>
      </c>
      <c r="G207" s="263">
        <f>28357.2*120+44539.9*60</f>
        <v>6075258</v>
      </c>
      <c r="H207" s="264"/>
      <c r="I207" s="265">
        <f>28352.9*120+44533.5*60</f>
        <v>6074358</v>
      </c>
      <c r="J207" s="266"/>
      <c r="K207" s="267">
        <f>G207-I207</f>
        <v>900</v>
      </c>
      <c r="L207" s="267"/>
      <c r="M207" s="268">
        <f t="array" ref="M207">IF(ISERROR(K207/L199),"",K207/(L199/1000))</f>
        <v>67.323776648433892</v>
      </c>
      <c r="N207" s="268"/>
      <c r="O207" s="260"/>
      <c r="P207" s="260"/>
      <c r="Q207" s="261" t="s">
        <v>208</v>
      </c>
      <c r="R207" s="261"/>
      <c r="S207" s="336">
        <v>1.5</v>
      </c>
      <c r="T207" s="337"/>
      <c r="U207" s="262">
        <v>0</v>
      </c>
      <c r="V207" s="262"/>
      <c r="W207" s="261">
        <f t="shared" si="28"/>
        <v>16.5</v>
      </c>
      <c r="X207" s="261"/>
      <c r="Y207" s="261">
        <f t="shared" si="29"/>
        <v>0</v>
      </c>
      <c r="Z207" s="261"/>
      <c r="AA207" s="261">
        <f t="shared" si="30"/>
        <v>-16.5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97">
        <v>0.55000000000000004</v>
      </c>
      <c r="G208" s="263">
        <f>27598+7+3</f>
        <v>27608</v>
      </c>
      <c r="H208" s="264"/>
      <c r="I208" s="269">
        <v>27598</v>
      </c>
      <c r="J208" s="270"/>
      <c r="K208" s="267">
        <f>G208-I208</f>
        <v>10</v>
      </c>
      <c r="L208" s="267"/>
      <c r="M208" s="271">
        <f t="array" ref="M208">IF(ISERROR(K208/L199),"",K208/(L199/1000))</f>
        <v>0.74804196276037649</v>
      </c>
      <c r="N208" s="271"/>
      <c r="O208" s="260"/>
      <c r="P208" s="260"/>
      <c r="Q208" s="261" t="s">
        <v>211</v>
      </c>
      <c r="R208" s="261"/>
      <c r="S208" s="336">
        <v>1</v>
      </c>
      <c r="T208" s="337"/>
      <c r="U208" s="262">
        <v>1</v>
      </c>
      <c r="V208" s="262"/>
      <c r="W208" s="261">
        <f t="shared" si="28"/>
        <v>11</v>
      </c>
      <c r="X208" s="261"/>
      <c r="Y208" s="261">
        <f t="shared" si="29"/>
        <v>11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>
        <f>2.4+1.12/2</f>
        <v>2.96</v>
      </c>
      <c r="L209" s="270"/>
      <c r="M209" s="272">
        <f t="array" ref="M209">IF(ISERROR((K209+K210)/L199),"",((K209+K210)*1000)/(L199/1000))</f>
        <v>221.42042097707144</v>
      </c>
      <c r="N209" s="273"/>
      <c r="O209" s="260"/>
      <c r="P209" s="260"/>
      <c r="Q209" s="261" t="s">
        <v>214</v>
      </c>
      <c r="R209" s="261"/>
      <c r="S209" s="336">
        <v>3</v>
      </c>
      <c r="T209" s="337"/>
      <c r="U209" s="262">
        <v>2</v>
      </c>
      <c r="V209" s="262"/>
      <c r="W209" s="261">
        <f t="shared" si="28"/>
        <v>33</v>
      </c>
      <c r="X209" s="261"/>
      <c r="Y209" s="261">
        <f t="shared" si="29"/>
        <v>22</v>
      </c>
      <c r="Z209" s="261"/>
      <c r="AA209" s="261">
        <f t="shared" si="30"/>
        <v>-11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17</v>
      </c>
      <c r="T210" s="262"/>
      <c r="U210" s="262">
        <f>SUM(U203:V209)</f>
        <v>17</v>
      </c>
      <c r="V210" s="262"/>
      <c r="W210" s="261">
        <f t="shared" si="28"/>
        <v>187</v>
      </c>
      <c r="X210" s="261"/>
      <c r="Y210" s="261">
        <f t="shared" si="29"/>
        <v>187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>
        <f>IF(ISERROR(K208/K209),"",K208/K209)</f>
        <v>3.3783783783783785</v>
      </c>
      <c r="N211" s="281"/>
      <c r="O211" s="260"/>
      <c r="P211" s="260"/>
      <c r="Q211" s="258" t="s">
        <v>219</v>
      </c>
      <c r="R211" s="258"/>
      <c r="S211" s="282">
        <f t="array" ref="S211">IF(ISERROR(L199/Y210),"",L199/Y210)</f>
        <v>71.487882352941185</v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90" t="s">
        <v>25</v>
      </c>
      <c r="S214" s="227"/>
      <c r="T214" s="229"/>
      <c r="U214" s="229"/>
      <c r="V214" s="231"/>
      <c r="W214" s="190" t="s">
        <v>26</v>
      </c>
      <c r="X214" s="18" t="s">
        <v>27</v>
      </c>
      <c r="Y214" s="18" t="s">
        <v>28</v>
      </c>
      <c r="Z214" s="190" t="s">
        <v>29</v>
      </c>
      <c r="AA214" s="18" t="s">
        <v>30</v>
      </c>
      <c r="AB214" s="18" t="s">
        <v>31</v>
      </c>
      <c r="AC214" s="190" t="s">
        <v>32</v>
      </c>
    </row>
    <row r="215" spans="1:29" ht="21.95" hidden="1" customHeight="1">
      <c r="A215" s="195">
        <v>300320</v>
      </c>
      <c r="B215" s="190" t="s">
        <v>33</v>
      </c>
      <c r="C215" s="239" t="s">
        <v>34</v>
      </c>
      <c r="D215" s="239"/>
      <c r="E215" s="194" t="s">
        <v>35</v>
      </c>
      <c r="F215" s="13"/>
      <c r="G215" s="192"/>
      <c r="H215" s="192"/>
      <c r="I215" s="192"/>
      <c r="J215" s="192"/>
      <c r="K215" s="192">
        <f t="shared" ref="K215:K285" si="31">G215*M215</f>
        <v>0</v>
      </c>
      <c r="L215" s="192">
        <f t="shared" ref="L215:L285" si="32">I215*M215</f>
        <v>0</v>
      </c>
      <c r="M215" s="192">
        <v>633.6</v>
      </c>
      <c r="N215" s="192">
        <f t="shared" ref="N215:N222" si="33">+M215*1000/(28.3*10*40*60)*T215</f>
        <v>4.6643109540636036</v>
      </c>
      <c r="O215" s="192"/>
      <c r="P215" s="192">
        <f t="shared" ref="P215:P285" si="34">N215*I215+O215*U215</f>
        <v>0</v>
      </c>
      <c r="Q215" s="192"/>
      <c r="R215" s="19">
        <f t="shared" ref="R215:R285" si="35">Q215*U215</f>
        <v>0</v>
      </c>
      <c r="S215" s="192">
        <f t="shared" ref="S215:S285" si="36">R215-P215</f>
        <v>0</v>
      </c>
      <c r="T215" s="20">
        <v>5</v>
      </c>
      <c r="U215" s="20"/>
      <c r="V215" s="198" t="str">
        <f t="array" ref="V215">IF(ISERROR(L215/K215),"",L215/K215)</f>
        <v/>
      </c>
      <c r="W215" s="20"/>
      <c r="X215" s="190"/>
      <c r="Y215" s="190"/>
      <c r="Z215" s="196"/>
      <c r="AA215" s="20"/>
      <c r="AB215" s="20"/>
      <c r="AC215" s="20"/>
    </row>
    <row r="216" spans="1:29" s="2" customFormat="1" ht="21.95" hidden="1" customHeight="1">
      <c r="A216" s="195">
        <v>300318</v>
      </c>
      <c r="B216" s="204" t="s">
        <v>33</v>
      </c>
      <c r="C216" s="292" t="s">
        <v>34</v>
      </c>
      <c r="D216" s="292"/>
      <c r="E216" s="48" t="s">
        <v>36</v>
      </c>
      <c r="F216" s="196"/>
      <c r="G216" s="192"/>
      <c r="H216" s="192"/>
      <c r="I216" s="192"/>
      <c r="J216" s="192"/>
      <c r="K216" s="192">
        <f t="shared" si="31"/>
        <v>0</v>
      </c>
      <c r="L216" s="192">
        <f t="shared" si="32"/>
        <v>0</v>
      </c>
      <c r="M216" s="192">
        <v>633.6</v>
      </c>
      <c r="N216" s="192">
        <f t="shared" si="33"/>
        <v>3.7314487632508833</v>
      </c>
      <c r="O216" s="192"/>
      <c r="P216" s="192">
        <f t="shared" si="34"/>
        <v>0</v>
      </c>
      <c r="Q216" s="192"/>
      <c r="R216" s="19">
        <f t="shared" si="35"/>
        <v>0</v>
      </c>
      <c r="S216" s="192">
        <f t="shared" si="36"/>
        <v>0</v>
      </c>
      <c r="T216" s="20">
        <v>4</v>
      </c>
      <c r="U216" s="20"/>
      <c r="V216" s="198" t="str">
        <f t="array" ref="V216">IF(ISERROR(L216/K216),"",L216/K216)</f>
        <v/>
      </c>
      <c r="W216" s="20"/>
      <c r="X216" s="190"/>
      <c r="Y216" s="190"/>
      <c r="Z216" s="196"/>
      <c r="AA216" s="20"/>
      <c r="AB216" s="20"/>
      <c r="AC216" s="20"/>
    </row>
    <row r="217" spans="1:29" s="2" customFormat="1" ht="21.95" hidden="1" customHeight="1">
      <c r="A217" s="195">
        <v>300319</v>
      </c>
      <c r="B217" s="204" t="s">
        <v>33</v>
      </c>
      <c r="C217" s="292" t="s">
        <v>34</v>
      </c>
      <c r="D217" s="292"/>
      <c r="E217" s="48" t="s">
        <v>37</v>
      </c>
      <c r="F217" s="196"/>
      <c r="G217" s="192"/>
      <c r="H217" s="192"/>
      <c r="I217" s="192"/>
      <c r="J217" s="192"/>
      <c r="K217" s="192">
        <f t="shared" si="31"/>
        <v>0</v>
      </c>
      <c r="L217" s="192">
        <f t="shared" si="32"/>
        <v>0</v>
      </c>
      <c r="M217" s="192">
        <v>633.6</v>
      </c>
      <c r="N217" s="192">
        <f t="shared" si="33"/>
        <v>3.7314487632508833</v>
      </c>
      <c r="O217" s="192"/>
      <c r="P217" s="192">
        <f t="shared" si="34"/>
        <v>0</v>
      </c>
      <c r="Q217" s="192"/>
      <c r="R217" s="19">
        <f t="shared" si="35"/>
        <v>0</v>
      </c>
      <c r="S217" s="192">
        <f t="shared" si="36"/>
        <v>0</v>
      </c>
      <c r="T217" s="20">
        <v>4</v>
      </c>
      <c r="U217" s="20"/>
      <c r="V217" s="198" t="str">
        <f t="array" ref="V217">IF(ISERROR(L217/K217),"",L217/K217)</f>
        <v/>
      </c>
      <c r="W217" s="20"/>
      <c r="X217" s="190"/>
      <c r="Y217" s="190"/>
      <c r="Z217" s="196"/>
      <c r="AA217" s="20"/>
      <c r="AB217" s="20"/>
      <c r="AC217" s="20"/>
    </row>
    <row r="218" spans="1:29" s="2" customFormat="1" ht="21.95" hidden="1" customHeight="1">
      <c r="A218" s="195">
        <v>300316</v>
      </c>
      <c r="B218" s="204" t="s">
        <v>33</v>
      </c>
      <c r="C218" s="292" t="s">
        <v>34</v>
      </c>
      <c r="D218" s="292"/>
      <c r="E218" s="48" t="s">
        <v>38</v>
      </c>
      <c r="F218" s="196"/>
      <c r="G218" s="192"/>
      <c r="H218" s="192"/>
      <c r="I218" s="192"/>
      <c r="J218" s="192"/>
      <c r="K218" s="192">
        <f t="shared" si="31"/>
        <v>0</v>
      </c>
      <c r="L218" s="192">
        <f t="shared" si="32"/>
        <v>0</v>
      </c>
      <c r="M218" s="192">
        <v>616</v>
      </c>
      <c r="N218" s="192">
        <f t="shared" si="33"/>
        <v>3.6277974087161367</v>
      </c>
      <c r="O218" s="192"/>
      <c r="P218" s="192">
        <f t="shared" si="34"/>
        <v>0</v>
      </c>
      <c r="Q218" s="192"/>
      <c r="R218" s="19">
        <f t="shared" si="35"/>
        <v>0</v>
      </c>
      <c r="S218" s="192">
        <f t="shared" si="36"/>
        <v>0</v>
      </c>
      <c r="T218" s="20">
        <v>4</v>
      </c>
      <c r="U218" s="20"/>
      <c r="V218" s="198" t="str">
        <f t="array" ref="V218">IF(ISERROR(L218/K218),"",L218/K218)</f>
        <v/>
      </c>
      <c r="W218" s="20"/>
      <c r="X218" s="190"/>
      <c r="Y218" s="190"/>
      <c r="Z218" s="196"/>
      <c r="AA218" s="20"/>
      <c r="AB218" s="20"/>
      <c r="AC218" s="20"/>
    </row>
    <row r="219" spans="1:29" s="2" customFormat="1" ht="21.95" hidden="1" customHeight="1">
      <c r="A219" s="195">
        <v>300317</v>
      </c>
      <c r="B219" s="204" t="s">
        <v>33</v>
      </c>
      <c r="C219" s="292" t="s">
        <v>34</v>
      </c>
      <c r="D219" s="292"/>
      <c r="E219" s="48" t="s">
        <v>39</v>
      </c>
      <c r="F219" s="196"/>
      <c r="G219" s="192"/>
      <c r="H219" s="192"/>
      <c r="I219" s="192"/>
      <c r="J219" s="192"/>
      <c r="K219" s="192">
        <f t="shared" si="31"/>
        <v>0</v>
      </c>
      <c r="L219" s="192">
        <f t="shared" si="32"/>
        <v>0</v>
      </c>
      <c r="M219" s="192">
        <v>616</v>
      </c>
      <c r="N219" s="192">
        <f t="shared" si="33"/>
        <v>3.6277974087161367</v>
      </c>
      <c r="O219" s="192"/>
      <c r="P219" s="192">
        <f t="shared" si="34"/>
        <v>0</v>
      </c>
      <c r="Q219" s="192"/>
      <c r="R219" s="19">
        <f t="shared" si="35"/>
        <v>0</v>
      </c>
      <c r="S219" s="192">
        <f t="shared" si="36"/>
        <v>0</v>
      </c>
      <c r="T219" s="20">
        <v>4</v>
      </c>
      <c r="U219" s="20"/>
      <c r="V219" s="198" t="str">
        <f t="array" ref="V219">IF(ISERROR(L219/K219),"",L219/K219)</f>
        <v/>
      </c>
      <c r="W219" s="20"/>
      <c r="X219" s="190"/>
      <c r="Y219" s="190"/>
      <c r="Z219" s="196"/>
      <c r="AA219" s="20"/>
      <c r="AB219" s="20"/>
      <c r="AC219" s="20"/>
    </row>
    <row r="220" spans="1:29" s="2" customFormat="1" ht="21.95" hidden="1" customHeight="1">
      <c r="A220" s="195">
        <v>300315</v>
      </c>
      <c r="B220" s="204" t="s">
        <v>33</v>
      </c>
      <c r="C220" s="292" t="s">
        <v>34</v>
      </c>
      <c r="D220" s="292"/>
      <c r="E220" s="48" t="s">
        <v>40</v>
      </c>
      <c r="F220" s="196"/>
      <c r="G220" s="192"/>
      <c r="H220" s="192"/>
      <c r="I220" s="192"/>
      <c r="J220" s="192"/>
      <c r="K220" s="192">
        <f t="shared" si="31"/>
        <v>0</v>
      </c>
      <c r="L220" s="192">
        <f t="shared" si="32"/>
        <v>0</v>
      </c>
      <c r="M220" s="192">
        <v>616</v>
      </c>
      <c r="N220" s="192">
        <f t="shared" si="33"/>
        <v>3.6277974087161367</v>
      </c>
      <c r="O220" s="192"/>
      <c r="P220" s="192">
        <f t="shared" si="34"/>
        <v>0</v>
      </c>
      <c r="Q220" s="192"/>
      <c r="R220" s="19">
        <f t="shared" si="35"/>
        <v>0</v>
      </c>
      <c r="S220" s="192">
        <f t="shared" si="36"/>
        <v>0</v>
      </c>
      <c r="T220" s="20">
        <v>4</v>
      </c>
      <c r="U220" s="20"/>
      <c r="V220" s="198" t="str">
        <f t="array" ref="V220">IF(ISERROR(L220/K220),"",L220/K220)</f>
        <v/>
      </c>
      <c r="W220" s="20"/>
      <c r="X220" s="190"/>
      <c r="Y220" s="190"/>
      <c r="Z220" s="196"/>
      <c r="AA220" s="20"/>
      <c r="AB220" s="20"/>
      <c r="AC220" s="20"/>
    </row>
    <row r="221" spans="1:29" s="2" customFormat="1" ht="21.95" hidden="1" customHeight="1">
      <c r="A221" s="195">
        <v>300314</v>
      </c>
      <c r="B221" s="204" t="s">
        <v>33</v>
      </c>
      <c r="C221" s="292" t="s">
        <v>34</v>
      </c>
      <c r="D221" s="292"/>
      <c r="E221" s="48" t="s">
        <v>41</v>
      </c>
      <c r="F221" s="196"/>
      <c r="G221" s="192"/>
      <c r="H221" s="192"/>
      <c r="I221" s="192"/>
      <c r="J221" s="192"/>
      <c r="K221" s="192">
        <f t="shared" si="31"/>
        <v>0</v>
      </c>
      <c r="L221" s="192">
        <f t="shared" si="32"/>
        <v>0</v>
      </c>
      <c r="M221" s="192">
        <v>616</v>
      </c>
      <c r="N221" s="192">
        <f t="shared" si="33"/>
        <v>3.6277974087161367</v>
      </c>
      <c r="O221" s="192"/>
      <c r="P221" s="192">
        <f t="shared" si="34"/>
        <v>0</v>
      </c>
      <c r="Q221" s="192"/>
      <c r="R221" s="19">
        <f t="shared" si="35"/>
        <v>0</v>
      </c>
      <c r="S221" s="192">
        <f t="shared" si="36"/>
        <v>0</v>
      </c>
      <c r="T221" s="20">
        <v>4</v>
      </c>
      <c r="U221" s="20"/>
      <c r="V221" s="198" t="str">
        <f t="array" ref="V221">IF(ISERROR(L221/K221),"",L221/K221)</f>
        <v/>
      </c>
      <c r="W221" s="20"/>
      <c r="X221" s="190"/>
      <c r="Y221" s="190"/>
      <c r="Z221" s="196"/>
      <c r="AA221" s="20"/>
      <c r="AB221" s="20"/>
      <c r="AC221" s="20"/>
    </row>
    <row r="222" spans="1:29" s="2" customFormat="1" ht="21.95" hidden="1" customHeight="1">
      <c r="A222" s="195">
        <v>300313</v>
      </c>
      <c r="B222" s="204" t="s">
        <v>33</v>
      </c>
      <c r="C222" s="292" t="s">
        <v>34</v>
      </c>
      <c r="D222" s="292"/>
      <c r="E222" s="48" t="s">
        <v>42</v>
      </c>
      <c r="F222" s="196"/>
      <c r="G222" s="192"/>
      <c r="H222" s="192"/>
      <c r="I222" s="192"/>
      <c r="J222" s="192"/>
      <c r="K222" s="192">
        <f t="shared" si="31"/>
        <v>0</v>
      </c>
      <c r="L222" s="192">
        <f t="shared" si="32"/>
        <v>0</v>
      </c>
      <c r="M222" s="192">
        <v>616</v>
      </c>
      <c r="N222" s="192">
        <f t="shared" si="33"/>
        <v>3.6277974087161367</v>
      </c>
      <c r="O222" s="192"/>
      <c r="P222" s="192">
        <f t="shared" si="34"/>
        <v>0</v>
      </c>
      <c r="Q222" s="192"/>
      <c r="R222" s="19">
        <f t="shared" si="35"/>
        <v>0</v>
      </c>
      <c r="S222" s="192">
        <f t="shared" si="36"/>
        <v>0</v>
      </c>
      <c r="T222" s="20">
        <v>4</v>
      </c>
      <c r="U222" s="20"/>
      <c r="V222" s="198" t="str">
        <f t="array" ref="V222">IF(ISERROR(L222/K222),"",L222/K222)</f>
        <v/>
      </c>
      <c r="W222" s="20"/>
      <c r="X222" s="190"/>
      <c r="Y222" s="190"/>
      <c r="Z222" s="196"/>
      <c r="AA222" s="20"/>
      <c r="AB222" s="20"/>
      <c r="AC222" s="20"/>
    </row>
    <row r="223" spans="1:29" ht="21.95" hidden="1" customHeight="1">
      <c r="A223" s="195"/>
      <c r="B223" s="190" t="s">
        <v>43</v>
      </c>
      <c r="C223" s="237" t="s">
        <v>313</v>
      </c>
      <c r="D223" s="238"/>
      <c r="E223" s="194" t="s">
        <v>314</v>
      </c>
      <c r="F223" s="13"/>
      <c r="G223" s="110"/>
      <c r="H223" s="110"/>
      <c r="I223" s="110"/>
      <c r="J223" s="110"/>
      <c r="K223" s="192">
        <f t="shared" si="31"/>
        <v>0</v>
      </c>
      <c r="L223" s="192">
        <f t="shared" si="32"/>
        <v>0</v>
      </c>
      <c r="M223" s="192">
        <v>213.4</v>
      </c>
      <c r="N223" s="192">
        <f>+M223*1000/(15.4*10*17*60)*T223</f>
        <v>4.0756302521008401</v>
      </c>
      <c r="O223" s="192"/>
      <c r="P223" s="192">
        <f t="shared" si="34"/>
        <v>0</v>
      </c>
      <c r="Q223" s="192"/>
      <c r="R223" s="19">
        <f t="shared" si="35"/>
        <v>0</v>
      </c>
      <c r="S223" s="192">
        <f t="shared" si="36"/>
        <v>0</v>
      </c>
      <c r="T223" s="20">
        <v>3</v>
      </c>
      <c r="U223" s="20"/>
      <c r="V223" s="198"/>
      <c r="W223" s="20"/>
      <c r="X223" s="190"/>
      <c r="Y223" s="190"/>
      <c r="Z223" s="196"/>
      <c r="AA223" s="20"/>
      <c r="AB223" s="20"/>
      <c r="AC223" s="20"/>
    </row>
    <row r="224" spans="1:29" ht="21.95" hidden="1" customHeight="1">
      <c r="A224" s="195"/>
      <c r="B224" s="190" t="s">
        <v>43</v>
      </c>
      <c r="C224" s="237" t="s">
        <v>313</v>
      </c>
      <c r="D224" s="238"/>
      <c r="E224" s="194" t="s">
        <v>315</v>
      </c>
      <c r="F224" s="13"/>
      <c r="G224" s="110"/>
      <c r="H224" s="110"/>
      <c r="I224" s="110"/>
      <c r="J224" s="110"/>
      <c r="K224" s="192">
        <f t="shared" si="31"/>
        <v>0</v>
      </c>
      <c r="L224" s="192">
        <f t="shared" si="32"/>
        <v>0</v>
      </c>
      <c r="M224" s="192">
        <v>213.4</v>
      </c>
      <c r="N224" s="192">
        <f>+M224*1000/(15.4*10*17*60)*T224</f>
        <v>4.0756302521008401</v>
      </c>
      <c r="O224" s="192"/>
      <c r="P224" s="192">
        <f t="shared" si="34"/>
        <v>0</v>
      </c>
      <c r="Q224" s="192"/>
      <c r="R224" s="19">
        <f t="shared" si="35"/>
        <v>0</v>
      </c>
      <c r="S224" s="192">
        <f t="shared" si="36"/>
        <v>0</v>
      </c>
      <c r="T224" s="20">
        <v>3</v>
      </c>
      <c r="U224" s="20"/>
      <c r="V224" s="198"/>
      <c r="W224" s="20"/>
      <c r="X224" s="190"/>
      <c r="Y224" s="190"/>
      <c r="Z224" s="196"/>
      <c r="AA224" s="20"/>
      <c r="AB224" s="20"/>
      <c r="AC224" s="20"/>
    </row>
    <row r="225" spans="1:29" s="2" customFormat="1" ht="21.95" hidden="1" customHeight="1">
      <c r="A225" s="190">
        <v>300202</v>
      </c>
      <c r="B225" s="190" t="s">
        <v>52</v>
      </c>
      <c r="C225" s="237" t="s">
        <v>44</v>
      </c>
      <c r="D225" s="238"/>
      <c r="E225" s="190" t="s">
        <v>35</v>
      </c>
      <c r="F225" s="196"/>
      <c r="G225" s="192"/>
      <c r="H225" s="192"/>
      <c r="I225" s="192"/>
      <c r="J225" s="192"/>
      <c r="K225" s="192">
        <f t="shared" si="31"/>
        <v>0</v>
      </c>
      <c r="L225" s="192">
        <f t="shared" si="32"/>
        <v>0</v>
      </c>
      <c r="M225" s="192">
        <v>212.4</v>
      </c>
      <c r="N225" s="192">
        <f>+M225*1000/(15.4*10*17*60)*T225</f>
        <v>8.1130634071810537</v>
      </c>
      <c r="O225" s="192"/>
      <c r="P225" s="192">
        <f t="shared" si="34"/>
        <v>0</v>
      </c>
      <c r="Q225" s="192"/>
      <c r="R225" s="19">
        <f t="shared" si="35"/>
        <v>0</v>
      </c>
      <c r="S225" s="192">
        <f t="shared" si="36"/>
        <v>0</v>
      </c>
      <c r="T225" s="20">
        <v>6</v>
      </c>
      <c r="U225" s="20"/>
      <c r="V225" s="19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90">
        <v>300203</v>
      </c>
      <c r="B226" s="190" t="s">
        <v>43</v>
      </c>
      <c r="C226" s="237" t="s">
        <v>44</v>
      </c>
      <c r="D226" s="238"/>
      <c r="E226" s="190" t="s">
        <v>41</v>
      </c>
      <c r="F226" s="196"/>
      <c r="G226" s="192"/>
      <c r="H226" s="192"/>
      <c r="I226" s="192"/>
      <c r="J226" s="192"/>
      <c r="K226" s="192">
        <f t="shared" si="31"/>
        <v>0</v>
      </c>
      <c r="L226" s="192">
        <f t="shared" si="32"/>
        <v>0</v>
      </c>
      <c r="M226" s="192">
        <v>212.4</v>
      </c>
      <c r="N226" s="192">
        <f>+M226*1000/(15.4*10*17*60)*T226</f>
        <v>4.0565317035905268</v>
      </c>
      <c r="O226" s="192"/>
      <c r="P226" s="192">
        <f t="shared" si="34"/>
        <v>0</v>
      </c>
      <c r="Q226" s="192"/>
      <c r="R226" s="19">
        <f t="shared" si="35"/>
        <v>0</v>
      </c>
      <c r="S226" s="192">
        <f t="shared" si="36"/>
        <v>0</v>
      </c>
      <c r="T226" s="20">
        <v>3</v>
      </c>
      <c r="U226" s="20"/>
      <c r="V226" s="19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90">
        <v>300204</v>
      </c>
      <c r="B227" s="190" t="s">
        <v>43</v>
      </c>
      <c r="C227" s="237" t="s">
        <v>44</v>
      </c>
      <c r="D227" s="238"/>
      <c r="E227" s="190" t="s">
        <v>37</v>
      </c>
      <c r="F227" s="196"/>
      <c r="G227" s="192"/>
      <c r="H227" s="192"/>
      <c r="I227" s="192"/>
      <c r="J227" s="192"/>
      <c r="K227" s="192">
        <f t="shared" si="31"/>
        <v>0</v>
      </c>
      <c r="L227" s="192">
        <f t="shared" si="32"/>
        <v>0</v>
      </c>
      <c r="M227" s="192">
        <v>212.4</v>
      </c>
      <c r="N227" s="192">
        <f>+M227*1000/(15.4*10*17*60)*T227</f>
        <v>4.0565317035905268</v>
      </c>
      <c r="O227" s="192"/>
      <c r="P227" s="192">
        <f t="shared" si="34"/>
        <v>0</v>
      </c>
      <c r="Q227" s="192"/>
      <c r="R227" s="19">
        <f t="shared" si="35"/>
        <v>0</v>
      </c>
      <c r="S227" s="192">
        <f t="shared" si="36"/>
        <v>0</v>
      </c>
      <c r="T227" s="20">
        <v>3</v>
      </c>
      <c r="U227" s="20"/>
      <c r="V227" s="19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95">
        <v>300269</v>
      </c>
      <c r="B228" s="190" t="s">
        <v>43</v>
      </c>
      <c r="C228" s="226" t="s">
        <v>45</v>
      </c>
      <c r="D228" s="226"/>
      <c r="E228" s="194"/>
      <c r="F228" s="196"/>
      <c r="G228" s="192"/>
      <c r="H228" s="192"/>
      <c r="I228" s="192"/>
      <c r="J228" s="192"/>
      <c r="K228" s="192">
        <f t="shared" si="31"/>
        <v>0</v>
      </c>
      <c r="L228" s="192">
        <f t="shared" si="32"/>
        <v>0</v>
      </c>
      <c r="M228" s="192">
        <v>209.4</v>
      </c>
      <c r="N228" s="192">
        <f>+M228*1000/(19.4*10*16*60)*T228</f>
        <v>3.3730670103092786</v>
      </c>
      <c r="O228" s="192"/>
      <c r="P228" s="192">
        <f t="shared" si="34"/>
        <v>0</v>
      </c>
      <c r="Q228" s="192"/>
      <c r="R228" s="19">
        <f t="shared" si="35"/>
        <v>0</v>
      </c>
      <c r="S228" s="192">
        <f t="shared" si="36"/>
        <v>0</v>
      </c>
      <c r="T228" s="20">
        <v>3</v>
      </c>
      <c r="U228" s="20"/>
      <c r="V228" s="19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95"/>
      <c r="B229" s="190"/>
      <c r="C229" s="226" t="s">
        <v>46</v>
      </c>
      <c r="D229" s="226"/>
      <c r="E229" s="194" t="s">
        <v>47</v>
      </c>
      <c r="F229" s="196"/>
      <c r="G229" s="192"/>
      <c r="H229" s="192"/>
      <c r="I229" s="192"/>
      <c r="J229" s="192"/>
      <c r="K229" s="192">
        <f t="shared" si="31"/>
        <v>0</v>
      </c>
      <c r="L229" s="192">
        <f t="shared" si="32"/>
        <v>0</v>
      </c>
      <c r="M229" s="192">
        <v>209.9</v>
      </c>
      <c r="N229" s="192">
        <f>+M229*1000/(19*10*16*60)*T229</f>
        <v>3.4523026315789478</v>
      </c>
      <c r="O229" s="192"/>
      <c r="P229" s="192">
        <f t="shared" si="34"/>
        <v>0</v>
      </c>
      <c r="Q229" s="192"/>
      <c r="R229" s="19">
        <f t="shared" si="35"/>
        <v>0</v>
      </c>
      <c r="S229" s="192">
        <f t="shared" si="36"/>
        <v>0</v>
      </c>
      <c r="T229" s="20">
        <v>3</v>
      </c>
      <c r="U229" s="20"/>
      <c r="V229" s="19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95">
        <v>300350</v>
      </c>
      <c r="B230" s="190" t="s">
        <v>43</v>
      </c>
      <c r="C230" s="226" t="s">
        <v>48</v>
      </c>
      <c r="D230" s="226"/>
      <c r="E230" s="194" t="s">
        <v>49</v>
      </c>
      <c r="F230" s="196"/>
      <c r="G230" s="192"/>
      <c r="H230" s="192"/>
      <c r="I230" s="192"/>
      <c r="J230" s="192"/>
      <c r="K230" s="192">
        <f t="shared" si="31"/>
        <v>0</v>
      </c>
      <c r="L230" s="192">
        <f t="shared" si="32"/>
        <v>0</v>
      </c>
      <c r="M230" s="192">
        <v>209.9</v>
      </c>
      <c r="N230" s="192">
        <f>+M230*1000/(19*10*16*60)*T230</f>
        <v>2.3015350877192984</v>
      </c>
      <c r="O230" s="192"/>
      <c r="P230" s="192">
        <f t="shared" si="34"/>
        <v>0</v>
      </c>
      <c r="Q230" s="192"/>
      <c r="R230" s="19">
        <f t="shared" si="35"/>
        <v>0</v>
      </c>
      <c r="S230" s="192">
        <f t="shared" si="36"/>
        <v>0</v>
      </c>
      <c r="T230" s="20">
        <v>2</v>
      </c>
      <c r="U230" s="20"/>
      <c r="V230" s="19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95">
        <v>300113</v>
      </c>
      <c r="B231" s="190" t="s">
        <v>43</v>
      </c>
      <c r="C231" s="226" t="s">
        <v>50</v>
      </c>
      <c r="D231" s="226"/>
      <c r="E231" s="194" t="s">
        <v>40</v>
      </c>
      <c r="F231" s="196"/>
      <c r="G231" s="192"/>
      <c r="H231" s="192"/>
      <c r="I231" s="192"/>
      <c r="J231" s="192"/>
      <c r="K231" s="192">
        <f t="shared" si="31"/>
        <v>0</v>
      </c>
      <c r="L231" s="192">
        <f t="shared" si="32"/>
        <v>0</v>
      </c>
      <c r="M231" s="192">
        <v>210</v>
      </c>
      <c r="N231" s="192">
        <f>M231*1000/(19.2*10*17*60)*T231</f>
        <v>2.1446078431372548</v>
      </c>
      <c r="O231" s="192"/>
      <c r="P231" s="192">
        <f t="shared" si="34"/>
        <v>0</v>
      </c>
      <c r="Q231" s="192"/>
      <c r="R231" s="19">
        <f t="shared" si="35"/>
        <v>0</v>
      </c>
      <c r="S231" s="192">
        <f t="shared" si="36"/>
        <v>0</v>
      </c>
      <c r="T231" s="20">
        <v>2</v>
      </c>
      <c r="U231" s="20"/>
      <c r="V231" s="19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95">
        <v>300114</v>
      </c>
      <c r="B232" s="190" t="s">
        <v>43</v>
      </c>
      <c r="C232" s="226" t="s">
        <v>50</v>
      </c>
      <c r="D232" s="226"/>
      <c r="E232" s="194" t="s">
        <v>42</v>
      </c>
      <c r="F232" s="196"/>
      <c r="G232" s="192"/>
      <c r="H232" s="192"/>
      <c r="I232" s="192"/>
      <c r="J232" s="192"/>
      <c r="K232" s="192">
        <f t="shared" si="31"/>
        <v>0</v>
      </c>
      <c r="L232" s="192">
        <f t="shared" si="32"/>
        <v>0</v>
      </c>
      <c r="M232" s="192">
        <v>210</v>
      </c>
      <c r="N232" s="192">
        <f>M232*1000/(19.2*10*17*60)*T232</f>
        <v>2.1446078431372548</v>
      </c>
      <c r="O232" s="192"/>
      <c r="P232" s="192">
        <f t="shared" si="34"/>
        <v>0</v>
      </c>
      <c r="Q232" s="192"/>
      <c r="R232" s="19">
        <f t="shared" si="35"/>
        <v>0</v>
      </c>
      <c r="S232" s="192">
        <f t="shared" si="36"/>
        <v>0</v>
      </c>
      <c r="T232" s="20">
        <v>2</v>
      </c>
      <c r="U232" s="20"/>
      <c r="V232" s="19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95">
        <v>300115</v>
      </c>
      <c r="B233" s="190" t="s">
        <v>43</v>
      </c>
      <c r="C233" s="226" t="s">
        <v>50</v>
      </c>
      <c r="D233" s="226"/>
      <c r="E233" s="194" t="s">
        <v>41</v>
      </c>
      <c r="F233" s="196"/>
      <c r="G233" s="192"/>
      <c r="H233" s="192"/>
      <c r="I233" s="192"/>
      <c r="J233" s="192"/>
      <c r="K233" s="192">
        <f t="shared" si="31"/>
        <v>0</v>
      </c>
      <c r="L233" s="192">
        <f t="shared" si="32"/>
        <v>0</v>
      </c>
      <c r="M233" s="192">
        <v>210</v>
      </c>
      <c r="N233" s="192">
        <f>M233*1000/(19.2*10*17*60)*T233</f>
        <v>2.1446078431372548</v>
      </c>
      <c r="O233" s="192"/>
      <c r="P233" s="192">
        <f t="shared" si="34"/>
        <v>0</v>
      </c>
      <c r="Q233" s="192"/>
      <c r="R233" s="19">
        <f t="shared" si="35"/>
        <v>0</v>
      </c>
      <c r="S233" s="192">
        <f t="shared" si="36"/>
        <v>0</v>
      </c>
      <c r="T233" s="20">
        <v>2</v>
      </c>
      <c r="U233" s="20"/>
      <c r="V233" s="19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95">
        <v>300011</v>
      </c>
      <c r="B234" s="190" t="s">
        <v>43</v>
      </c>
      <c r="C234" s="226" t="s">
        <v>51</v>
      </c>
      <c r="D234" s="226"/>
      <c r="E234" s="194" t="s">
        <v>40</v>
      </c>
      <c r="F234" s="196"/>
      <c r="G234" s="192"/>
      <c r="H234" s="192"/>
      <c r="I234" s="192"/>
      <c r="J234" s="192"/>
      <c r="K234" s="192">
        <f t="shared" si="31"/>
        <v>0</v>
      </c>
      <c r="L234" s="192">
        <f t="shared" si="32"/>
        <v>0</v>
      </c>
      <c r="M234" s="192">
        <v>524.6</v>
      </c>
      <c r="N234" s="192">
        <f>+M234*1000/(25.4*20*15*60)*T234</f>
        <v>3.4422572178477688</v>
      </c>
      <c r="O234" s="192"/>
      <c r="P234" s="192">
        <f t="shared" si="34"/>
        <v>0</v>
      </c>
      <c r="Q234" s="192"/>
      <c r="R234" s="19">
        <f t="shared" si="35"/>
        <v>0</v>
      </c>
      <c r="S234" s="192">
        <f t="shared" si="36"/>
        <v>0</v>
      </c>
      <c r="T234" s="20">
        <v>3</v>
      </c>
      <c r="U234" s="20"/>
      <c r="V234" s="19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95">
        <v>300012</v>
      </c>
      <c r="B235" s="190">
        <v>3004</v>
      </c>
      <c r="C235" s="226" t="s">
        <v>51</v>
      </c>
      <c r="D235" s="226"/>
      <c r="E235" s="194" t="s">
        <v>41</v>
      </c>
      <c r="F235" s="196"/>
      <c r="G235" s="192">
        <v>5</v>
      </c>
      <c r="H235" s="192"/>
      <c r="I235" s="192">
        <v>5</v>
      </c>
      <c r="J235" s="192"/>
      <c r="K235" s="192">
        <f t="shared" si="31"/>
        <v>2623</v>
      </c>
      <c r="L235" s="192">
        <f t="shared" si="32"/>
        <v>2623</v>
      </c>
      <c r="M235" s="192">
        <v>524.6</v>
      </c>
      <c r="N235" s="192">
        <f>+M235*1000/(25.4*20*15*60)*T235</f>
        <v>3.4422572178477688</v>
      </c>
      <c r="O235" s="192">
        <v>0.5</v>
      </c>
      <c r="P235" s="192">
        <f t="shared" si="34"/>
        <v>18.711286089238843</v>
      </c>
      <c r="Q235" s="192">
        <v>5</v>
      </c>
      <c r="R235" s="19">
        <f t="shared" si="35"/>
        <v>15</v>
      </c>
      <c r="S235" s="192">
        <f t="shared" si="36"/>
        <v>-3.7112860892388433</v>
      </c>
      <c r="T235" s="20">
        <v>3</v>
      </c>
      <c r="U235" s="20">
        <v>3</v>
      </c>
      <c r="V235" s="198">
        <f t="array" ref="V235">IF(ISERROR(L235/K235),"",L235/K235)</f>
        <v>1</v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95">
        <v>300013</v>
      </c>
      <c r="B236" s="190">
        <v>3004</v>
      </c>
      <c r="C236" s="226" t="s">
        <v>51</v>
      </c>
      <c r="D236" s="226"/>
      <c r="E236" s="194" t="s">
        <v>42</v>
      </c>
      <c r="F236" s="196"/>
      <c r="G236" s="192">
        <v>0.2</v>
      </c>
      <c r="H236" s="192">
        <f>80/400</f>
        <v>0.2</v>
      </c>
      <c r="I236" s="192">
        <f>+H236</f>
        <v>0.2</v>
      </c>
      <c r="J236" s="192"/>
      <c r="K236" s="192">
        <f t="shared" si="31"/>
        <v>104.92000000000002</v>
      </c>
      <c r="L236" s="192">
        <f t="shared" si="32"/>
        <v>104.92000000000002</v>
      </c>
      <c r="M236" s="192">
        <v>524.6</v>
      </c>
      <c r="N236" s="192">
        <f>+M236*1000/(25.4*20*15*60)*T236</f>
        <v>3.4422572178477688</v>
      </c>
      <c r="O236" s="192"/>
      <c r="P236" s="192">
        <f t="shared" si="34"/>
        <v>0.68845144356955379</v>
      </c>
      <c r="Q236" s="192">
        <v>1</v>
      </c>
      <c r="R236" s="19">
        <f t="shared" si="35"/>
        <v>3</v>
      </c>
      <c r="S236" s="192">
        <f t="shared" si="36"/>
        <v>2.3115485564304463</v>
      </c>
      <c r="T236" s="20">
        <v>3</v>
      </c>
      <c r="U236" s="20">
        <v>3</v>
      </c>
      <c r="V236" s="198">
        <f t="array" ref="V236">IF(ISERROR(L236/K236),"",L236/K236)</f>
        <v>1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95">
        <v>300016</v>
      </c>
      <c r="B237" s="190" t="s">
        <v>43</v>
      </c>
      <c r="C237" s="226" t="s">
        <v>51</v>
      </c>
      <c r="D237" s="226"/>
      <c r="E237" s="194" t="s">
        <v>38</v>
      </c>
      <c r="F237" s="196"/>
      <c r="G237" s="192"/>
      <c r="H237" s="192"/>
      <c r="I237" s="192"/>
      <c r="J237" s="192"/>
      <c r="K237" s="192">
        <f t="shared" si="31"/>
        <v>0</v>
      </c>
      <c r="L237" s="192">
        <f t="shared" si="32"/>
        <v>0</v>
      </c>
      <c r="M237" s="192">
        <v>524.6</v>
      </c>
      <c r="N237" s="192">
        <f>+M237*1000/(25.4*20*15*60)*T237</f>
        <v>3.4422572178477688</v>
      </c>
      <c r="O237" s="192"/>
      <c r="P237" s="192">
        <f t="shared" si="34"/>
        <v>0</v>
      </c>
      <c r="Q237" s="192"/>
      <c r="R237" s="19">
        <f t="shared" si="35"/>
        <v>0</v>
      </c>
      <c r="S237" s="192">
        <f t="shared" si="36"/>
        <v>0</v>
      </c>
      <c r="T237" s="20">
        <v>3</v>
      </c>
      <c r="U237" s="20"/>
      <c r="V237" s="19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203">
        <v>3004</v>
      </c>
      <c r="C238" s="239" t="s">
        <v>51</v>
      </c>
      <c r="D238" s="239"/>
      <c r="E238" s="42" t="s">
        <v>309</v>
      </c>
      <c r="F238" s="127"/>
      <c r="G238" s="192">
        <v>5</v>
      </c>
      <c r="H238" s="192"/>
      <c r="I238" s="192">
        <v>5</v>
      </c>
      <c r="J238" s="192"/>
      <c r="K238" s="15">
        <f t="shared" si="31"/>
        <v>2623</v>
      </c>
      <c r="L238" s="15">
        <f t="shared" si="32"/>
        <v>2623</v>
      </c>
      <c r="M238" s="15">
        <v>524.6</v>
      </c>
      <c r="N238" s="15">
        <f>+M238*1000/(25.4*20*15*60)*T238</f>
        <v>3.4422572178477688</v>
      </c>
      <c r="O238" s="15">
        <v>0.5</v>
      </c>
      <c r="P238" s="15">
        <f t="shared" si="34"/>
        <v>18.711286089238843</v>
      </c>
      <c r="Q238" s="15">
        <v>5</v>
      </c>
      <c r="R238" s="129">
        <f t="shared" si="35"/>
        <v>15</v>
      </c>
      <c r="S238" s="15">
        <f t="shared" si="36"/>
        <v>-3.7112860892388433</v>
      </c>
      <c r="T238" s="130">
        <v>3</v>
      </c>
      <c r="U238" s="130">
        <v>3</v>
      </c>
      <c r="V238" s="198">
        <f t="array" ref="V238">IF(ISERROR(L238/K238),"",L238/K238)</f>
        <v>1</v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95">
        <v>300276</v>
      </c>
      <c r="B239" s="190" t="s">
        <v>43</v>
      </c>
      <c r="C239" s="226" t="s">
        <v>53</v>
      </c>
      <c r="D239" s="226"/>
      <c r="E239" s="194" t="s">
        <v>41</v>
      </c>
      <c r="F239" s="13"/>
      <c r="G239" s="192"/>
      <c r="H239" s="192"/>
      <c r="I239" s="192"/>
      <c r="J239" s="192"/>
      <c r="K239" s="192">
        <f t="shared" si="31"/>
        <v>0</v>
      </c>
      <c r="L239" s="192">
        <f t="shared" si="32"/>
        <v>0</v>
      </c>
      <c r="M239" s="15">
        <v>266</v>
      </c>
      <c r="N239" s="192">
        <f>+M239*1000/(29.8*10*13*60)*T239</f>
        <v>3.4331440371708828</v>
      </c>
      <c r="O239" s="192"/>
      <c r="P239" s="192">
        <f t="shared" si="34"/>
        <v>0</v>
      </c>
      <c r="Q239" s="192"/>
      <c r="R239" s="19">
        <f t="shared" si="35"/>
        <v>0</v>
      </c>
      <c r="S239" s="192">
        <f t="shared" si="36"/>
        <v>0</v>
      </c>
      <c r="T239" s="20">
        <v>3</v>
      </c>
      <c r="U239" s="20"/>
      <c r="V239" s="19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95">
        <v>300277</v>
      </c>
      <c r="B240" s="190" t="s">
        <v>43</v>
      </c>
      <c r="C240" s="226" t="s">
        <v>53</v>
      </c>
      <c r="D240" s="226"/>
      <c r="E240" s="194" t="s">
        <v>39</v>
      </c>
      <c r="F240" s="13"/>
      <c r="G240" s="192"/>
      <c r="H240" s="192"/>
      <c r="I240" s="192"/>
      <c r="J240" s="192"/>
      <c r="K240" s="192">
        <f t="shared" si="31"/>
        <v>0</v>
      </c>
      <c r="L240" s="192">
        <f t="shared" si="32"/>
        <v>0</v>
      </c>
      <c r="M240" s="15">
        <v>266</v>
      </c>
      <c r="N240" s="192">
        <f>+M240*1000/(29.8*10*13*60)*T240</f>
        <v>3.4331440371708828</v>
      </c>
      <c r="O240" s="192"/>
      <c r="P240" s="192">
        <f t="shared" si="34"/>
        <v>0</v>
      </c>
      <c r="Q240" s="192"/>
      <c r="R240" s="19">
        <f t="shared" si="35"/>
        <v>0</v>
      </c>
      <c r="S240" s="192">
        <f t="shared" si="36"/>
        <v>0</v>
      </c>
      <c r="T240" s="20">
        <v>3</v>
      </c>
      <c r="U240" s="20"/>
      <c r="V240" s="19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95">
        <v>300278</v>
      </c>
      <c r="B241" s="190" t="s">
        <v>43</v>
      </c>
      <c r="C241" s="226" t="s">
        <v>53</v>
      </c>
      <c r="D241" s="226"/>
      <c r="E241" s="194" t="s">
        <v>54</v>
      </c>
      <c r="F241" s="13"/>
      <c r="G241" s="192"/>
      <c r="H241" s="192"/>
      <c r="I241" s="192"/>
      <c r="J241" s="192"/>
      <c r="K241" s="192">
        <f t="shared" si="31"/>
        <v>0</v>
      </c>
      <c r="L241" s="192">
        <f t="shared" si="32"/>
        <v>0</v>
      </c>
      <c r="M241" s="15">
        <v>266</v>
      </c>
      <c r="N241" s="192">
        <f>+M241*1000/(29.8*10*13*60)*T241</f>
        <v>3.4331440371708828</v>
      </c>
      <c r="O241" s="192"/>
      <c r="P241" s="192">
        <f t="shared" si="34"/>
        <v>0</v>
      </c>
      <c r="Q241" s="192"/>
      <c r="R241" s="19">
        <f t="shared" si="35"/>
        <v>0</v>
      </c>
      <c r="S241" s="192">
        <f t="shared" si="36"/>
        <v>0</v>
      </c>
      <c r="T241" s="20">
        <v>3</v>
      </c>
      <c r="U241" s="20"/>
      <c r="V241" s="19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95">
        <v>300027</v>
      </c>
      <c r="B242" s="190" t="s">
        <v>55</v>
      </c>
      <c r="C242" s="226" t="s">
        <v>56</v>
      </c>
      <c r="D242" s="226"/>
      <c r="E242" s="194" t="s">
        <v>54</v>
      </c>
      <c r="F242" s="196"/>
      <c r="G242" s="192"/>
      <c r="H242" s="192"/>
      <c r="I242" s="192"/>
      <c r="J242" s="192"/>
      <c r="K242" s="192">
        <f t="shared" si="31"/>
        <v>0</v>
      </c>
      <c r="L242" s="192">
        <f t="shared" si="32"/>
        <v>0</v>
      </c>
      <c r="M242" s="192">
        <v>550.4</v>
      </c>
      <c r="N242" s="192">
        <f>+M242*1000/(31*20*15*60)*T242</f>
        <v>2.9591397849462364</v>
      </c>
      <c r="O242" s="192"/>
      <c r="P242" s="192">
        <f t="shared" si="34"/>
        <v>0</v>
      </c>
      <c r="Q242" s="192"/>
      <c r="R242" s="19">
        <f t="shared" si="35"/>
        <v>0</v>
      </c>
      <c r="S242" s="192">
        <f t="shared" si="36"/>
        <v>0</v>
      </c>
      <c r="T242" s="20">
        <v>3</v>
      </c>
      <c r="U242" s="20"/>
      <c r="V242" s="19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95">
        <v>300028</v>
      </c>
      <c r="B243" s="190" t="s">
        <v>55</v>
      </c>
      <c r="C243" s="226" t="s">
        <v>56</v>
      </c>
      <c r="D243" s="226"/>
      <c r="E243" s="194" t="s">
        <v>35</v>
      </c>
      <c r="F243" s="196"/>
      <c r="G243" s="192"/>
      <c r="H243" s="192"/>
      <c r="I243" s="192"/>
      <c r="J243" s="192"/>
      <c r="K243" s="192">
        <f t="shared" si="31"/>
        <v>0</v>
      </c>
      <c r="L243" s="192">
        <f t="shared" si="32"/>
        <v>0</v>
      </c>
      <c r="M243" s="192">
        <v>550.4</v>
      </c>
      <c r="N243" s="192">
        <f>+M243*1000/(31*20*15*60)*T243</f>
        <v>2.9591397849462364</v>
      </c>
      <c r="O243" s="192"/>
      <c r="P243" s="192">
        <f t="shared" si="34"/>
        <v>0</v>
      </c>
      <c r="Q243" s="192"/>
      <c r="R243" s="19">
        <f t="shared" si="35"/>
        <v>0</v>
      </c>
      <c r="S243" s="192">
        <f t="shared" si="36"/>
        <v>0</v>
      </c>
      <c r="T243" s="20">
        <v>3</v>
      </c>
      <c r="U243" s="20"/>
      <c r="V243" s="19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95">
        <v>300029</v>
      </c>
      <c r="B244" s="190" t="s">
        <v>55</v>
      </c>
      <c r="C244" s="226" t="s">
        <v>56</v>
      </c>
      <c r="D244" s="226"/>
      <c r="E244" s="194" t="s">
        <v>57</v>
      </c>
      <c r="F244" s="196"/>
      <c r="G244" s="192"/>
      <c r="H244" s="192"/>
      <c r="I244" s="192"/>
      <c r="J244" s="192"/>
      <c r="K244" s="192">
        <f t="shared" si="31"/>
        <v>0</v>
      </c>
      <c r="L244" s="192">
        <f t="shared" si="32"/>
        <v>0</v>
      </c>
      <c r="M244" s="192">
        <v>550.4</v>
      </c>
      <c r="N244" s="192">
        <f>+M244*1000/(31*20*15*60)*T244</f>
        <v>2.9591397849462364</v>
      </c>
      <c r="O244" s="192"/>
      <c r="P244" s="192">
        <f t="shared" si="34"/>
        <v>0</v>
      </c>
      <c r="Q244" s="192"/>
      <c r="R244" s="19">
        <f t="shared" si="35"/>
        <v>0</v>
      </c>
      <c r="S244" s="192">
        <f t="shared" si="36"/>
        <v>0</v>
      </c>
      <c r="T244" s="20">
        <v>3</v>
      </c>
      <c r="U244" s="20"/>
      <c r="V244" s="19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95">
        <v>300026</v>
      </c>
      <c r="B245" s="190" t="s">
        <v>55</v>
      </c>
      <c r="C245" s="226" t="s">
        <v>56</v>
      </c>
      <c r="D245" s="226"/>
      <c r="E245" s="194" t="s">
        <v>37</v>
      </c>
      <c r="F245" s="196"/>
      <c r="G245" s="192"/>
      <c r="H245" s="192"/>
      <c r="I245" s="192"/>
      <c r="J245" s="192"/>
      <c r="K245" s="192">
        <f t="shared" si="31"/>
        <v>0</v>
      </c>
      <c r="L245" s="192">
        <f t="shared" si="32"/>
        <v>0</v>
      </c>
      <c r="M245" s="192">
        <v>550.4</v>
      </c>
      <c r="N245" s="192">
        <f>+M245*1000/(31*20*15*60)*T245</f>
        <v>2.9591397849462364</v>
      </c>
      <c r="O245" s="192"/>
      <c r="P245" s="192">
        <f t="shared" si="34"/>
        <v>0</v>
      </c>
      <c r="Q245" s="192"/>
      <c r="R245" s="19">
        <f t="shared" si="35"/>
        <v>0</v>
      </c>
      <c r="S245" s="192">
        <f t="shared" si="36"/>
        <v>0</v>
      </c>
      <c r="T245" s="20">
        <v>3</v>
      </c>
      <c r="U245" s="20"/>
      <c r="V245" s="19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95">
        <v>300032</v>
      </c>
      <c r="B246" s="190">
        <v>3002</v>
      </c>
      <c r="C246" s="226" t="s">
        <v>58</v>
      </c>
      <c r="D246" s="226" t="s">
        <v>59</v>
      </c>
      <c r="E246" s="194" t="s">
        <v>35</v>
      </c>
      <c r="F246" s="196"/>
      <c r="G246" s="192"/>
      <c r="H246" s="192"/>
      <c r="I246" s="192"/>
      <c r="J246" s="192"/>
      <c r="K246" s="192">
        <f t="shared" si="31"/>
        <v>0</v>
      </c>
      <c r="L246" s="192">
        <f t="shared" si="32"/>
        <v>0</v>
      </c>
      <c r="M246" s="192">
        <v>285.7</v>
      </c>
      <c r="N246" s="192">
        <f>+M246*1000/(31*10*13*60)*T246</f>
        <v>7.0893300248138953</v>
      </c>
      <c r="O246" s="192"/>
      <c r="P246" s="192">
        <f t="shared" si="34"/>
        <v>0</v>
      </c>
      <c r="Q246" s="192"/>
      <c r="R246" s="19">
        <f t="shared" si="35"/>
        <v>0</v>
      </c>
      <c r="S246" s="192">
        <f t="shared" si="36"/>
        <v>0</v>
      </c>
      <c r="T246" s="20">
        <v>6</v>
      </c>
      <c r="U246" s="20"/>
      <c r="V246" s="19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95">
        <v>300413</v>
      </c>
      <c r="B247" s="190">
        <v>3002</v>
      </c>
      <c r="C247" s="237" t="s">
        <v>304</v>
      </c>
      <c r="D247" s="238"/>
      <c r="E247" s="194" t="s">
        <v>302</v>
      </c>
      <c r="F247" s="13"/>
      <c r="G247" s="192"/>
      <c r="H247" s="192"/>
      <c r="I247" s="192"/>
      <c r="J247" s="192"/>
      <c r="K247" s="192">
        <f t="shared" si="31"/>
        <v>0</v>
      </c>
      <c r="L247" s="192">
        <f t="shared" si="32"/>
        <v>0</v>
      </c>
      <c r="M247" s="192">
        <v>528.79999999999995</v>
      </c>
      <c r="N247" s="192">
        <f>+M247*1000/(31*10*13*60)*T247</f>
        <v>6.5607940446650126</v>
      </c>
      <c r="O247" s="192"/>
      <c r="P247" s="192">
        <f t="shared" si="34"/>
        <v>0</v>
      </c>
      <c r="Q247" s="192"/>
      <c r="R247" s="19">
        <f t="shared" si="35"/>
        <v>0</v>
      </c>
      <c r="S247" s="192">
        <f t="shared" si="36"/>
        <v>0</v>
      </c>
      <c r="T247" s="20">
        <v>3</v>
      </c>
      <c r="U247" s="20"/>
      <c r="V247" s="198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95">
        <v>300414</v>
      </c>
      <c r="B248" s="190">
        <v>3002</v>
      </c>
      <c r="C248" s="237" t="s">
        <v>304</v>
      </c>
      <c r="D248" s="238"/>
      <c r="E248" s="194" t="s">
        <v>299</v>
      </c>
      <c r="F248" s="13"/>
      <c r="G248" s="192"/>
      <c r="H248" s="192"/>
      <c r="I248" s="192"/>
      <c r="J248" s="192"/>
      <c r="K248" s="192">
        <f t="shared" si="31"/>
        <v>0</v>
      </c>
      <c r="L248" s="192">
        <f t="shared" si="32"/>
        <v>0</v>
      </c>
      <c r="M248" s="192">
        <v>528.79999999999995</v>
      </c>
      <c r="N248" s="192">
        <f>+M248*1000/(31*10*13*60)*T248</f>
        <v>6.5607940446650126</v>
      </c>
      <c r="O248" s="192"/>
      <c r="P248" s="192">
        <f t="shared" si="34"/>
        <v>0</v>
      </c>
      <c r="Q248" s="192"/>
      <c r="R248" s="19">
        <f t="shared" si="35"/>
        <v>0</v>
      </c>
      <c r="S248" s="192">
        <f t="shared" si="36"/>
        <v>0</v>
      </c>
      <c r="T248" s="20">
        <v>3</v>
      </c>
      <c r="U248" s="20"/>
      <c r="V248" s="198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95">
        <v>300415</v>
      </c>
      <c r="B249" s="190">
        <v>3002</v>
      </c>
      <c r="C249" s="237" t="s">
        <v>304</v>
      </c>
      <c r="D249" s="238"/>
      <c r="E249" s="194" t="s">
        <v>303</v>
      </c>
      <c r="F249" s="13"/>
      <c r="G249" s="192"/>
      <c r="H249" s="192"/>
      <c r="I249" s="192"/>
      <c r="J249" s="192"/>
      <c r="K249" s="192">
        <f t="shared" si="31"/>
        <v>0</v>
      </c>
      <c r="L249" s="192">
        <f t="shared" si="32"/>
        <v>0</v>
      </c>
      <c r="M249" s="192">
        <v>528.79999999999995</v>
      </c>
      <c r="N249" s="192">
        <f>+M249*1000/(31*10*13*60)*T249</f>
        <v>6.5607940446650126</v>
      </c>
      <c r="O249" s="192"/>
      <c r="P249" s="192">
        <f t="shared" si="34"/>
        <v>0</v>
      </c>
      <c r="Q249" s="192"/>
      <c r="R249" s="19">
        <f t="shared" si="35"/>
        <v>0</v>
      </c>
      <c r="S249" s="192">
        <f t="shared" si="36"/>
        <v>0</v>
      </c>
      <c r="T249" s="20">
        <v>3</v>
      </c>
      <c r="U249" s="20"/>
      <c r="V249" s="198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95">
        <v>300035</v>
      </c>
      <c r="B250" s="190" t="s">
        <v>60</v>
      </c>
      <c r="C250" s="226" t="s">
        <v>61</v>
      </c>
      <c r="D250" s="226" t="s">
        <v>62</v>
      </c>
      <c r="E250" s="194" t="s">
        <v>35</v>
      </c>
      <c r="F250" s="196"/>
      <c r="G250" s="192"/>
      <c r="H250" s="192"/>
      <c r="I250" s="192"/>
      <c r="J250" s="192"/>
      <c r="K250" s="192">
        <f t="shared" si="31"/>
        <v>0</v>
      </c>
      <c r="L250" s="192">
        <f t="shared" si="32"/>
        <v>0</v>
      </c>
      <c r="M250" s="192">
        <v>366.93</v>
      </c>
      <c r="N250" s="192">
        <f>+M250*1000/(35.8*10*13*60)*T250</f>
        <v>2.6280618822518265</v>
      </c>
      <c r="O250" s="192"/>
      <c r="P250" s="192">
        <f t="shared" si="34"/>
        <v>0</v>
      </c>
      <c r="Q250" s="192"/>
      <c r="R250" s="19">
        <f t="shared" si="35"/>
        <v>0</v>
      </c>
      <c r="S250" s="192">
        <f t="shared" si="36"/>
        <v>0</v>
      </c>
      <c r="T250" s="20">
        <v>2</v>
      </c>
      <c r="U250" s="20"/>
      <c r="V250" s="19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95">
        <v>300036</v>
      </c>
      <c r="B251" s="190" t="s">
        <v>60</v>
      </c>
      <c r="C251" s="226" t="s">
        <v>61</v>
      </c>
      <c r="D251" s="226" t="s">
        <v>62</v>
      </c>
      <c r="E251" s="194" t="s">
        <v>63</v>
      </c>
      <c r="F251" s="196"/>
      <c r="G251" s="192"/>
      <c r="H251" s="192"/>
      <c r="I251" s="192"/>
      <c r="J251" s="192"/>
      <c r="K251" s="192">
        <f t="shared" si="31"/>
        <v>0</v>
      </c>
      <c r="L251" s="192">
        <f t="shared" si="32"/>
        <v>0</v>
      </c>
      <c r="M251" s="192">
        <v>366.93</v>
      </c>
      <c r="N251" s="192">
        <f>+M251*1000/(35.8*10*13*60)*T251</f>
        <v>2.6280618822518265</v>
      </c>
      <c r="O251" s="192"/>
      <c r="P251" s="192">
        <f t="shared" si="34"/>
        <v>0</v>
      </c>
      <c r="Q251" s="192"/>
      <c r="R251" s="19">
        <f t="shared" si="35"/>
        <v>0</v>
      </c>
      <c r="S251" s="192">
        <f t="shared" si="36"/>
        <v>0</v>
      </c>
      <c r="T251" s="20">
        <v>2</v>
      </c>
      <c r="U251" s="20"/>
      <c r="V251" s="19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95">
        <v>300037</v>
      </c>
      <c r="B252" s="190" t="s">
        <v>60</v>
      </c>
      <c r="C252" s="226" t="s">
        <v>61</v>
      </c>
      <c r="D252" s="226" t="s">
        <v>62</v>
      </c>
      <c r="E252" s="194" t="s">
        <v>37</v>
      </c>
      <c r="F252" s="196"/>
      <c r="G252" s="192"/>
      <c r="H252" s="192"/>
      <c r="I252" s="192"/>
      <c r="J252" s="192"/>
      <c r="K252" s="192">
        <f t="shared" si="31"/>
        <v>0</v>
      </c>
      <c r="L252" s="192">
        <f t="shared" si="32"/>
        <v>0</v>
      </c>
      <c r="M252" s="192">
        <v>366.93</v>
      </c>
      <c r="N252" s="192">
        <f>+M252*1000/(35.8*10*13*60)*T252</f>
        <v>2.6280618822518265</v>
      </c>
      <c r="O252" s="192"/>
      <c r="P252" s="192">
        <f t="shared" si="34"/>
        <v>0</v>
      </c>
      <c r="Q252" s="192"/>
      <c r="R252" s="19">
        <f t="shared" si="35"/>
        <v>0</v>
      </c>
      <c r="S252" s="192">
        <f t="shared" si="36"/>
        <v>0</v>
      </c>
      <c r="T252" s="20">
        <v>2</v>
      </c>
      <c r="U252" s="20"/>
      <c r="V252" s="19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95">
        <v>300038</v>
      </c>
      <c r="B253" s="190" t="s">
        <v>60</v>
      </c>
      <c r="C253" s="226" t="s">
        <v>64</v>
      </c>
      <c r="D253" s="226" t="s">
        <v>65</v>
      </c>
      <c r="E253" s="194" t="s">
        <v>35</v>
      </c>
      <c r="F253" s="196"/>
      <c r="G253" s="192"/>
      <c r="H253" s="192"/>
      <c r="I253" s="192"/>
      <c r="J253" s="192"/>
      <c r="K253" s="192">
        <f t="shared" si="31"/>
        <v>0</v>
      </c>
      <c r="L253" s="192">
        <f t="shared" si="32"/>
        <v>0</v>
      </c>
      <c r="M253" s="192">
        <v>301.14</v>
      </c>
      <c r="N253" s="192">
        <f>+M253*1000/(35.8*10*13*60)*T253</f>
        <v>5.3921357971637294</v>
      </c>
      <c r="O253" s="192"/>
      <c r="P253" s="192">
        <f t="shared" si="34"/>
        <v>0</v>
      </c>
      <c r="Q253" s="192"/>
      <c r="R253" s="19">
        <f t="shared" si="35"/>
        <v>0</v>
      </c>
      <c r="S253" s="192">
        <f t="shared" si="36"/>
        <v>0</v>
      </c>
      <c r="T253" s="20">
        <v>5</v>
      </c>
      <c r="U253" s="20"/>
      <c r="V253" s="19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95">
        <v>300039</v>
      </c>
      <c r="B254" s="190" t="s">
        <v>60</v>
      </c>
      <c r="C254" s="226" t="s">
        <v>64</v>
      </c>
      <c r="D254" s="226" t="s">
        <v>65</v>
      </c>
      <c r="E254" s="194" t="s">
        <v>66</v>
      </c>
      <c r="F254" s="196"/>
      <c r="G254" s="192"/>
      <c r="H254" s="192"/>
      <c r="I254" s="192"/>
      <c r="J254" s="192"/>
      <c r="K254" s="192">
        <f t="shared" si="31"/>
        <v>0</v>
      </c>
      <c r="L254" s="192">
        <f t="shared" si="32"/>
        <v>0</v>
      </c>
      <c r="M254" s="192">
        <v>310.39999999999998</v>
      </c>
      <c r="N254" s="192">
        <f>+M254*1000/(35.8*10*13*60)*T254</f>
        <v>5.557942988110586</v>
      </c>
      <c r="O254" s="192"/>
      <c r="P254" s="192">
        <f t="shared" si="34"/>
        <v>0</v>
      </c>
      <c r="Q254" s="192"/>
      <c r="R254" s="19">
        <f t="shared" si="35"/>
        <v>0</v>
      </c>
      <c r="S254" s="192">
        <f t="shared" si="36"/>
        <v>0</v>
      </c>
      <c r="T254" s="20">
        <v>5</v>
      </c>
      <c r="U254" s="20"/>
      <c r="V254" s="19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95">
        <v>300416</v>
      </c>
      <c r="B255" s="190" t="s">
        <v>67</v>
      </c>
      <c r="C255" s="237" t="s">
        <v>68</v>
      </c>
      <c r="D255" s="238"/>
      <c r="E255" s="194" t="s">
        <v>69</v>
      </c>
      <c r="F255" s="196"/>
      <c r="G255" s="192"/>
      <c r="H255" s="192"/>
      <c r="I255" s="192"/>
      <c r="J255" s="192"/>
      <c r="K255" s="192">
        <f t="shared" si="31"/>
        <v>0</v>
      </c>
      <c r="L255" s="192">
        <f t="shared" si="32"/>
        <v>0</v>
      </c>
      <c r="M255" s="192">
        <v>385.6</v>
      </c>
      <c r="N255" s="192">
        <f>+M255*1000/(25.4*20*15*60)*T255</f>
        <v>2.5301837270341205</v>
      </c>
      <c r="O255" s="192"/>
      <c r="P255" s="192">
        <f t="shared" si="34"/>
        <v>0</v>
      </c>
      <c r="Q255" s="192"/>
      <c r="R255" s="19">
        <f t="shared" si="35"/>
        <v>0</v>
      </c>
      <c r="S255" s="192">
        <f t="shared" si="36"/>
        <v>0</v>
      </c>
      <c r="T255" s="20">
        <v>3</v>
      </c>
      <c r="U255" s="20"/>
      <c r="V255" s="198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95">
        <v>300417</v>
      </c>
      <c r="B256" s="190" t="s">
        <v>67</v>
      </c>
      <c r="C256" s="237" t="s">
        <v>68</v>
      </c>
      <c r="D256" s="238"/>
      <c r="E256" s="194" t="s">
        <v>70</v>
      </c>
      <c r="F256" s="196"/>
      <c r="G256" s="192"/>
      <c r="H256" s="192"/>
      <c r="I256" s="192"/>
      <c r="J256" s="192"/>
      <c r="K256" s="192">
        <f t="shared" si="31"/>
        <v>0</v>
      </c>
      <c r="L256" s="192">
        <f t="shared" si="32"/>
        <v>0</v>
      </c>
      <c r="M256" s="192">
        <v>385.6</v>
      </c>
      <c r="N256" s="192">
        <f>+M256*1000/(25.4*20*15*60)*T256</f>
        <v>2.5301837270341205</v>
      </c>
      <c r="O256" s="192"/>
      <c r="P256" s="192">
        <f t="shared" si="34"/>
        <v>0</v>
      </c>
      <c r="Q256" s="192"/>
      <c r="R256" s="19">
        <f t="shared" si="35"/>
        <v>0</v>
      </c>
      <c r="S256" s="192">
        <f t="shared" si="36"/>
        <v>0</v>
      </c>
      <c r="T256" s="20">
        <v>3</v>
      </c>
      <c r="U256" s="20"/>
      <c r="V256" s="198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95">
        <v>300418</v>
      </c>
      <c r="B257" s="190" t="s">
        <v>67</v>
      </c>
      <c r="C257" s="237" t="s">
        <v>68</v>
      </c>
      <c r="D257" s="238"/>
      <c r="E257" s="194" t="s">
        <v>71</v>
      </c>
      <c r="F257" s="196"/>
      <c r="G257" s="192"/>
      <c r="H257" s="192"/>
      <c r="I257" s="192"/>
      <c r="J257" s="192"/>
      <c r="K257" s="192">
        <f t="shared" si="31"/>
        <v>0</v>
      </c>
      <c r="L257" s="192">
        <f t="shared" si="32"/>
        <v>0</v>
      </c>
      <c r="M257" s="192">
        <v>385.6</v>
      </c>
      <c r="N257" s="192">
        <f>+M257*1000/(25.4*20*15*60)*T257</f>
        <v>2.5301837270341205</v>
      </c>
      <c r="O257" s="192"/>
      <c r="P257" s="192">
        <f t="shared" si="34"/>
        <v>0</v>
      </c>
      <c r="Q257" s="192"/>
      <c r="R257" s="19">
        <f t="shared" si="35"/>
        <v>0</v>
      </c>
      <c r="S257" s="192">
        <f t="shared" si="36"/>
        <v>0</v>
      </c>
      <c r="T257" s="20">
        <v>3</v>
      </c>
      <c r="U257" s="20"/>
      <c r="V257" s="198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95">
        <v>300419</v>
      </c>
      <c r="B258" s="190" t="s">
        <v>67</v>
      </c>
      <c r="C258" s="237" t="s">
        <v>68</v>
      </c>
      <c r="D258" s="238"/>
      <c r="E258" s="194" t="s">
        <v>72</v>
      </c>
      <c r="F258" s="196"/>
      <c r="G258" s="192"/>
      <c r="H258" s="192"/>
      <c r="I258" s="192"/>
      <c r="J258" s="192"/>
      <c r="K258" s="192">
        <f t="shared" si="31"/>
        <v>0</v>
      </c>
      <c r="L258" s="192">
        <f t="shared" si="32"/>
        <v>0</v>
      </c>
      <c r="M258" s="192">
        <v>385.6</v>
      </c>
      <c r="N258" s="192">
        <f>+M258*1000/(25.4*20*15*60)*T258</f>
        <v>2.5301837270341205</v>
      </c>
      <c r="O258" s="192"/>
      <c r="P258" s="192">
        <f t="shared" si="34"/>
        <v>0</v>
      </c>
      <c r="Q258" s="192"/>
      <c r="R258" s="19">
        <f t="shared" si="35"/>
        <v>0</v>
      </c>
      <c r="S258" s="192">
        <f t="shared" si="36"/>
        <v>0</v>
      </c>
      <c r="T258" s="20">
        <v>3</v>
      </c>
      <c r="U258" s="20"/>
      <c r="V258" s="198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95">
        <v>300260</v>
      </c>
      <c r="B259" s="190" t="s">
        <v>67</v>
      </c>
      <c r="C259" s="226" t="s">
        <v>73</v>
      </c>
      <c r="D259" s="226"/>
      <c r="E259" s="194" t="s">
        <v>74</v>
      </c>
      <c r="F259" s="196"/>
      <c r="G259" s="192"/>
      <c r="H259" s="192"/>
      <c r="I259" s="192"/>
      <c r="J259" s="192"/>
      <c r="K259" s="192">
        <f t="shared" si="31"/>
        <v>0</v>
      </c>
      <c r="L259" s="192">
        <f t="shared" si="32"/>
        <v>0</v>
      </c>
      <c r="M259" s="192">
        <v>434.33</v>
      </c>
      <c r="N259" s="192">
        <f>+M259*1000/(42.7*10*15*60)*T259</f>
        <v>2.2603695029924538</v>
      </c>
      <c r="O259" s="192"/>
      <c r="P259" s="192">
        <f t="shared" si="34"/>
        <v>0</v>
      </c>
      <c r="Q259" s="192"/>
      <c r="R259" s="19">
        <f t="shared" si="35"/>
        <v>0</v>
      </c>
      <c r="S259" s="192">
        <f t="shared" si="36"/>
        <v>0</v>
      </c>
      <c r="T259" s="20">
        <v>2</v>
      </c>
      <c r="U259" s="20"/>
      <c r="V259" s="19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95">
        <v>300261</v>
      </c>
      <c r="B260" s="190" t="s">
        <v>67</v>
      </c>
      <c r="C260" s="226" t="s">
        <v>73</v>
      </c>
      <c r="D260" s="226"/>
      <c r="E260" s="194" t="s">
        <v>41</v>
      </c>
      <c r="F260" s="196"/>
      <c r="G260" s="192"/>
      <c r="H260" s="192"/>
      <c r="I260" s="192"/>
      <c r="J260" s="192"/>
      <c r="K260" s="192">
        <f t="shared" si="31"/>
        <v>0</v>
      </c>
      <c r="L260" s="192">
        <f t="shared" si="32"/>
        <v>0</v>
      </c>
      <c r="M260" s="192">
        <v>434.33</v>
      </c>
      <c r="N260" s="192">
        <f>+M260*1000/(42.7*10*15*60)*T260</f>
        <v>2.2603695029924538</v>
      </c>
      <c r="O260" s="192"/>
      <c r="P260" s="192">
        <f t="shared" si="34"/>
        <v>0</v>
      </c>
      <c r="Q260" s="192"/>
      <c r="R260" s="19">
        <f t="shared" si="35"/>
        <v>0</v>
      </c>
      <c r="S260" s="192">
        <f t="shared" si="36"/>
        <v>0</v>
      </c>
      <c r="T260" s="20">
        <v>2</v>
      </c>
      <c r="U260" s="20"/>
      <c r="V260" s="19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95">
        <v>300262</v>
      </c>
      <c r="B261" s="190" t="s">
        <v>67</v>
      </c>
      <c r="C261" s="226" t="s">
        <v>73</v>
      </c>
      <c r="D261" s="226"/>
      <c r="E261" s="194" t="s">
        <v>39</v>
      </c>
      <c r="F261" s="196"/>
      <c r="G261" s="192"/>
      <c r="H261" s="192"/>
      <c r="I261" s="192"/>
      <c r="J261" s="192"/>
      <c r="K261" s="192">
        <f t="shared" si="31"/>
        <v>0</v>
      </c>
      <c r="L261" s="192">
        <f t="shared" si="32"/>
        <v>0</v>
      </c>
      <c r="M261" s="192">
        <v>434.33</v>
      </c>
      <c r="N261" s="192">
        <f>+M261*1000/(42.7*10*15*60)*T261</f>
        <v>2.2603695029924538</v>
      </c>
      <c r="O261" s="192"/>
      <c r="P261" s="192">
        <f t="shared" si="34"/>
        <v>0</v>
      </c>
      <c r="Q261" s="192"/>
      <c r="R261" s="19">
        <f t="shared" si="35"/>
        <v>0</v>
      </c>
      <c r="S261" s="192">
        <f t="shared" si="36"/>
        <v>0</v>
      </c>
      <c r="T261" s="20">
        <v>2</v>
      </c>
      <c r="U261" s="20"/>
      <c r="V261" s="19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95">
        <v>300263</v>
      </c>
      <c r="B262" s="190" t="s">
        <v>67</v>
      </c>
      <c r="C262" s="226" t="s">
        <v>73</v>
      </c>
      <c r="D262" s="226"/>
      <c r="E262" s="194" t="s">
        <v>54</v>
      </c>
      <c r="F262" s="196"/>
      <c r="G262" s="192"/>
      <c r="H262" s="192"/>
      <c r="I262" s="192"/>
      <c r="J262" s="192"/>
      <c r="K262" s="192">
        <f t="shared" si="31"/>
        <v>0</v>
      </c>
      <c r="L262" s="192">
        <f t="shared" si="32"/>
        <v>0</v>
      </c>
      <c r="M262" s="192">
        <v>434.33</v>
      </c>
      <c r="N262" s="192">
        <f>+M262*1000/(42.7*10*15*60)*T262</f>
        <v>2.2603695029924538</v>
      </c>
      <c r="O262" s="192"/>
      <c r="P262" s="192">
        <f t="shared" si="34"/>
        <v>0</v>
      </c>
      <c r="Q262" s="192"/>
      <c r="R262" s="19">
        <f t="shared" si="35"/>
        <v>0</v>
      </c>
      <c r="S262" s="192">
        <f t="shared" si="36"/>
        <v>0</v>
      </c>
      <c r="T262" s="20">
        <v>2</v>
      </c>
      <c r="U262" s="20"/>
      <c r="V262" s="19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95">
        <v>300051</v>
      </c>
      <c r="B263" s="190" t="s">
        <v>67</v>
      </c>
      <c r="C263" s="226" t="s">
        <v>75</v>
      </c>
      <c r="D263" s="226" t="s">
        <v>76</v>
      </c>
      <c r="E263" s="194" t="s">
        <v>40</v>
      </c>
      <c r="F263" s="196"/>
      <c r="G263" s="192"/>
      <c r="H263" s="192"/>
      <c r="I263" s="192"/>
      <c r="J263" s="192"/>
      <c r="K263" s="192">
        <f t="shared" si="31"/>
        <v>0</v>
      </c>
      <c r="L263" s="192">
        <f t="shared" si="32"/>
        <v>0</v>
      </c>
      <c r="M263" s="192">
        <v>545.9</v>
      </c>
      <c r="N263" s="192">
        <f>+M263*1000/(41.5*10*16*60)*T263</f>
        <v>2.7404618473895583</v>
      </c>
      <c r="O263" s="192"/>
      <c r="P263" s="192">
        <f t="shared" si="34"/>
        <v>0</v>
      </c>
      <c r="Q263" s="192"/>
      <c r="R263" s="19">
        <f t="shared" si="35"/>
        <v>0</v>
      </c>
      <c r="S263" s="192">
        <f t="shared" si="36"/>
        <v>0</v>
      </c>
      <c r="T263" s="22">
        <v>2</v>
      </c>
      <c r="U263" s="20"/>
      <c r="V263" s="19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95">
        <v>300052</v>
      </c>
      <c r="B264" s="190" t="s">
        <v>67</v>
      </c>
      <c r="C264" s="226" t="s">
        <v>75</v>
      </c>
      <c r="D264" s="226" t="s">
        <v>76</v>
      </c>
      <c r="E264" s="194" t="s">
        <v>39</v>
      </c>
      <c r="F264" s="196"/>
      <c r="G264" s="192"/>
      <c r="H264" s="192"/>
      <c r="I264" s="192"/>
      <c r="J264" s="192"/>
      <c r="K264" s="192">
        <f t="shared" si="31"/>
        <v>0</v>
      </c>
      <c r="L264" s="192">
        <f t="shared" si="32"/>
        <v>0</v>
      </c>
      <c r="M264" s="192">
        <v>545.9</v>
      </c>
      <c r="N264" s="192">
        <f>+M264*1000/(41.5*10*16*60)*T264</f>
        <v>2.7404618473895583</v>
      </c>
      <c r="O264" s="192"/>
      <c r="P264" s="192">
        <f t="shared" si="34"/>
        <v>0</v>
      </c>
      <c r="Q264" s="192"/>
      <c r="R264" s="19">
        <f t="shared" si="35"/>
        <v>0</v>
      </c>
      <c r="S264" s="192">
        <f t="shared" si="36"/>
        <v>0</v>
      </c>
      <c r="T264" s="20">
        <v>2</v>
      </c>
      <c r="U264" s="20"/>
      <c r="V264" s="19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95">
        <v>300054</v>
      </c>
      <c r="B265" s="190" t="s">
        <v>67</v>
      </c>
      <c r="C265" s="226" t="s">
        <v>75</v>
      </c>
      <c r="D265" s="226" t="s">
        <v>76</v>
      </c>
      <c r="E265" s="194" t="s">
        <v>38</v>
      </c>
      <c r="F265" s="196"/>
      <c r="G265" s="192"/>
      <c r="H265" s="192"/>
      <c r="I265" s="192"/>
      <c r="J265" s="192"/>
      <c r="K265" s="192">
        <f t="shared" si="31"/>
        <v>0</v>
      </c>
      <c r="L265" s="192">
        <f t="shared" si="32"/>
        <v>0</v>
      </c>
      <c r="M265" s="192">
        <v>545.9</v>
      </c>
      <c r="N265" s="192">
        <f>+M265*1000/(41.5*10*16*60)*T265</f>
        <v>2.7404618473895583</v>
      </c>
      <c r="O265" s="192"/>
      <c r="P265" s="192">
        <f t="shared" si="34"/>
        <v>0</v>
      </c>
      <c r="Q265" s="192"/>
      <c r="R265" s="19">
        <f t="shared" si="35"/>
        <v>0</v>
      </c>
      <c r="S265" s="192">
        <f t="shared" si="36"/>
        <v>0</v>
      </c>
      <c r="T265" s="20">
        <v>2</v>
      </c>
      <c r="U265" s="20"/>
      <c r="V265" s="19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203" t="s">
        <v>67</v>
      </c>
      <c r="C266" s="239" t="s">
        <v>75</v>
      </c>
      <c r="D266" s="239" t="s">
        <v>76</v>
      </c>
      <c r="E266" s="42" t="s">
        <v>309</v>
      </c>
      <c r="F266" s="127"/>
      <c r="G266" s="192"/>
      <c r="H266" s="192"/>
      <c r="I266" s="192"/>
      <c r="J266" s="192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95">
        <v>300050</v>
      </c>
      <c r="B267" s="190" t="s">
        <v>67</v>
      </c>
      <c r="C267" s="226" t="s">
        <v>77</v>
      </c>
      <c r="D267" s="226" t="s">
        <v>78</v>
      </c>
      <c r="E267" s="194" t="s">
        <v>79</v>
      </c>
      <c r="F267" s="196"/>
      <c r="G267" s="192"/>
      <c r="H267" s="192"/>
      <c r="I267" s="192"/>
      <c r="J267" s="192"/>
      <c r="K267" s="192">
        <f t="shared" si="31"/>
        <v>0</v>
      </c>
      <c r="L267" s="192">
        <f t="shared" si="32"/>
        <v>0</v>
      </c>
      <c r="M267" s="192">
        <v>427.5</v>
      </c>
      <c r="N267" s="192">
        <f>+M267*1000/(45*10*14*60)*T267</f>
        <v>5.6547619047619051</v>
      </c>
      <c r="O267" s="192"/>
      <c r="P267" s="192">
        <f t="shared" si="34"/>
        <v>0</v>
      </c>
      <c r="Q267" s="192"/>
      <c r="R267" s="19">
        <f t="shared" si="35"/>
        <v>0</v>
      </c>
      <c r="S267" s="192">
        <f t="shared" si="36"/>
        <v>0</v>
      </c>
      <c r="T267" s="20">
        <v>5</v>
      </c>
      <c r="U267" s="20"/>
      <c r="V267" s="19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95">
        <v>300045</v>
      </c>
      <c r="B268" s="190" t="s">
        <v>67</v>
      </c>
      <c r="C268" s="226" t="s">
        <v>77</v>
      </c>
      <c r="D268" s="226" t="s">
        <v>78</v>
      </c>
      <c r="E268" s="194" t="s">
        <v>35</v>
      </c>
      <c r="F268" s="196"/>
      <c r="G268" s="192"/>
      <c r="H268" s="192"/>
      <c r="I268" s="192"/>
      <c r="J268" s="192"/>
      <c r="K268" s="192">
        <f t="shared" si="31"/>
        <v>0</v>
      </c>
      <c r="L268" s="192">
        <f t="shared" si="32"/>
        <v>0</v>
      </c>
      <c r="M268" s="192">
        <v>406.6</v>
      </c>
      <c r="N268" s="192">
        <f>+M268*1000/(45*10*13*60)*T268</f>
        <v>5.7920227920227916</v>
      </c>
      <c r="O268" s="192"/>
      <c r="P268" s="192">
        <f t="shared" si="34"/>
        <v>0</v>
      </c>
      <c r="Q268" s="192"/>
      <c r="R268" s="19">
        <f t="shared" si="35"/>
        <v>0</v>
      </c>
      <c r="S268" s="192">
        <f t="shared" si="36"/>
        <v>0</v>
      </c>
      <c r="T268" s="20">
        <v>5</v>
      </c>
      <c r="U268" s="20"/>
      <c r="V268" s="19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95">
        <v>300422</v>
      </c>
      <c r="B269" s="190" t="s">
        <v>67</v>
      </c>
      <c r="C269" s="237" t="s">
        <v>301</v>
      </c>
      <c r="D269" s="238"/>
      <c r="E269" s="194" t="s">
        <v>54</v>
      </c>
      <c r="F269" s="196"/>
      <c r="G269" s="192"/>
      <c r="H269" s="192"/>
      <c r="I269" s="192"/>
      <c r="J269" s="192"/>
      <c r="K269" s="192">
        <f t="shared" si="31"/>
        <v>0</v>
      </c>
      <c r="L269" s="192">
        <f t="shared" si="32"/>
        <v>0</v>
      </c>
      <c r="M269" s="192">
        <v>429.8</v>
      </c>
      <c r="N269" s="192">
        <f>+M269*1000/(45*10*13*60)*T269</f>
        <v>3.6735042735042738</v>
      </c>
      <c r="O269" s="192"/>
      <c r="P269" s="192">
        <f t="shared" si="34"/>
        <v>0</v>
      </c>
      <c r="Q269" s="192"/>
      <c r="R269" s="19">
        <f t="shared" si="35"/>
        <v>0</v>
      </c>
      <c r="S269" s="192">
        <f t="shared" si="36"/>
        <v>0</v>
      </c>
      <c r="T269" s="20">
        <v>3</v>
      </c>
      <c r="U269" s="20"/>
      <c r="V269" s="198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95">
        <v>300421</v>
      </c>
      <c r="B270" s="190" t="s">
        <v>67</v>
      </c>
      <c r="C270" s="237" t="s">
        <v>301</v>
      </c>
      <c r="D270" s="238"/>
      <c r="E270" s="194" t="s">
        <v>80</v>
      </c>
      <c r="F270" s="196"/>
      <c r="G270" s="192"/>
      <c r="H270" s="192"/>
      <c r="I270" s="192"/>
      <c r="J270" s="192"/>
      <c r="K270" s="192">
        <f t="shared" si="31"/>
        <v>0</v>
      </c>
      <c r="L270" s="192">
        <f t="shared" si="32"/>
        <v>0</v>
      </c>
      <c r="M270" s="192">
        <v>429.8</v>
      </c>
      <c r="N270" s="192">
        <f>+M270*1000/(45*10*13*60)*T270</f>
        <v>3.6735042735042738</v>
      </c>
      <c r="O270" s="192"/>
      <c r="P270" s="192">
        <f t="shared" si="34"/>
        <v>0</v>
      </c>
      <c r="Q270" s="192"/>
      <c r="R270" s="19">
        <f t="shared" si="35"/>
        <v>0</v>
      </c>
      <c r="S270" s="192">
        <f t="shared" si="36"/>
        <v>0</v>
      </c>
      <c r="T270" s="20">
        <v>3</v>
      </c>
      <c r="U270" s="20"/>
      <c r="V270" s="198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95">
        <v>300149</v>
      </c>
      <c r="B271" s="190" t="s">
        <v>67</v>
      </c>
      <c r="C271" s="226" t="s">
        <v>81</v>
      </c>
      <c r="D271" s="226" t="s">
        <v>82</v>
      </c>
      <c r="E271" s="194" t="s">
        <v>80</v>
      </c>
      <c r="F271" s="196"/>
      <c r="G271" s="192"/>
      <c r="H271" s="192"/>
      <c r="I271" s="192"/>
      <c r="J271" s="192"/>
      <c r="K271" s="192">
        <f t="shared" si="31"/>
        <v>0</v>
      </c>
      <c r="L271" s="192">
        <f t="shared" si="32"/>
        <v>0</v>
      </c>
      <c r="M271" s="192">
        <v>589.1</v>
      </c>
      <c r="N271" s="192">
        <f>+M271*1000/(67.1*10*13*60)*T271</f>
        <v>3.3767052619511633</v>
      </c>
      <c r="O271" s="192"/>
      <c r="P271" s="192">
        <f t="shared" si="34"/>
        <v>0</v>
      </c>
      <c r="Q271" s="192"/>
      <c r="R271" s="19">
        <f t="shared" si="35"/>
        <v>0</v>
      </c>
      <c r="S271" s="192">
        <f t="shared" si="36"/>
        <v>0</v>
      </c>
      <c r="T271" s="20">
        <v>3</v>
      </c>
      <c r="U271" s="20"/>
      <c r="V271" s="19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95">
        <v>300150</v>
      </c>
      <c r="B272" s="190" t="s">
        <v>67</v>
      </c>
      <c r="C272" s="226" t="s">
        <v>81</v>
      </c>
      <c r="D272" s="226" t="s">
        <v>82</v>
      </c>
      <c r="E272" s="194" t="s">
        <v>54</v>
      </c>
      <c r="F272" s="196"/>
      <c r="G272" s="192"/>
      <c r="H272" s="192"/>
      <c r="I272" s="192"/>
      <c r="J272" s="192"/>
      <c r="K272" s="192">
        <f t="shared" si="31"/>
        <v>0</v>
      </c>
      <c r="L272" s="192">
        <f t="shared" si="32"/>
        <v>0</v>
      </c>
      <c r="M272" s="192">
        <v>589.1</v>
      </c>
      <c r="N272" s="192">
        <f>+M272*1000/(67.1*10*13*60)*T272</f>
        <v>3.3767052619511633</v>
      </c>
      <c r="O272" s="192"/>
      <c r="P272" s="192">
        <f t="shared" si="34"/>
        <v>0</v>
      </c>
      <c r="Q272" s="192"/>
      <c r="R272" s="19">
        <f t="shared" si="35"/>
        <v>0</v>
      </c>
      <c r="S272" s="192">
        <f t="shared" si="36"/>
        <v>0</v>
      </c>
      <c r="T272" s="20">
        <v>3</v>
      </c>
      <c r="U272" s="20"/>
      <c r="V272" s="19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95">
        <v>300330</v>
      </c>
      <c r="B273" s="190" t="s">
        <v>67</v>
      </c>
      <c r="C273" s="237" t="s">
        <v>83</v>
      </c>
      <c r="D273" s="238"/>
      <c r="E273" s="194" t="s">
        <v>84</v>
      </c>
      <c r="F273" s="196"/>
      <c r="G273" s="192"/>
      <c r="H273" s="192"/>
      <c r="I273" s="192"/>
      <c r="J273" s="192"/>
      <c r="K273" s="192">
        <f t="shared" si="31"/>
        <v>0</v>
      </c>
      <c r="L273" s="192">
        <f t="shared" si="32"/>
        <v>0</v>
      </c>
      <c r="M273" s="192">
        <v>416.3</v>
      </c>
      <c r="N273" s="192">
        <f t="shared" ref="N273:N278" si="37">+M273*1000/(45*10*18*60)*T273</f>
        <v>1.7131687242798355</v>
      </c>
      <c r="O273" s="192"/>
      <c r="P273" s="192">
        <f t="shared" si="34"/>
        <v>0</v>
      </c>
      <c r="Q273" s="192"/>
      <c r="R273" s="19">
        <f t="shared" si="35"/>
        <v>0</v>
      </c>
      <c r="S273" s="192">
        <f t="shared" si="36"/>
        <v>0</v>
      </c>
      <c r="T273" s="20">
        <v>2</v>
      </c>
      <c r="U273" s="20"/>
      <c r="V273" s="19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95">
        <v>300331</v>
      </c>
      <c r="B274" s="190" t="s">
        <v>67</v>
      </c>
      <c r="C274" s="237" t="s">
        <v>83</v>
      </c>
      <c r="D274" s="238"/>
      <c r="E274" s="194" t="s">
        <v>49</v>
      </c>
      <c r="F274" s="196"/>
      <c r="G274" s="192"/>
      <c r="H274" s="192"/>
      <c r="I274" s="192"/>
      <c r="J274" s="192"/>
      <c r="K274" s="192">
        <f t="shared" si="31"/>
        <v>0</v>
      </c>
      <c r="L274" s="192">
        <f t="shared" si="32"/>
        <v>0</v>
      </c>
      <c r="M274" s="192">
        <v>416.3</v>
      </c>
      <c r="N274" s="192">
        <f t="shared" si="37"/>
        <v>1.7131687242798355</v>
      </c>
      <c r="O274" s="192"/>
      <c r="P274" s="192">
        <f t="shared" si="34"/>
        <v>0</v>
      </c>
      <c r="Q274" s="192"/>
      <c r="R274" s="19">
        <f t="shared" si="35"/>
        <v>0</v>
      </c>
      <c r="S274" s="192">
        <f t="shared" si="36"/>
        <v>0</v>
      </c>
      <c r="T274" s="20">
        <v>2</v>
      </c>
      <c r="U274" s="20"/>
      <c r="V274" s="198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95">
        <v>300332</v>
      </c>
      <c r="B275" s="190" t="s">
        <v>67</v>
      </c>
      <c r="C275" s="237" t="s">
        <v>83</v>
      </c>
      <c r="D275" s="238"/>
      <c r="E275" s="194" t="s">
        <v>85</v>
      </c>
      <c r="F275" s="196"/>
      <c r="G275" s="192"/>
      <c r="H275" s="192"/>
      <c r="I275" s="192"/>
      <c r="J275" s="192"/>
      <c r="K275" s="192">
        <f t="shared" si="31"/>
        <v>0</v>
      </c>
      <c r="L275" s="192">
        <f t="shared" si="32"/>
        <v>0</v>
      </c>
      <c r="M275" s="192">
        <v>416.3</v>
      </c>
      <c r="N275" s="192">
        <f t="shared" si="37"/>
        <v>1.7131687242798355</v>
      </c>
      <c r="O275" s="192"/>
      <c r="P275" s="192">
        <f t="shared" si="34"/>
        <v>0</v>
      </c>
      <c r="Q275" s="192"/>
      <c r="R275" s="19">
        <f t="shared" si="35"/>
        <v>0</v>
      </c>
      <c r="S275" s="192">
        <f t="shared" si="36"/>
        <v>0</v>
      </c>
      <c r="T275" s="20">
        <v>2</v>
      </c>
      <c r="U275" s="20"/>
      <c r="V275" s="198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95">
        <v>300333</v>
      </c>
      <c r="B276" s="190" t="s">
        <v>67</v>
      </c>
      <c r="C276" s="237" t="s">
        <v>86</v>
      </c>
      <c r="D276" s="238"/>
      <c r="E276" s="194" t="s">
        <v>84</v>
      </c>
      <c r="F276" s="196"/>
      <c r="G276" s="192"/>
      <c r="H276" s="192"/>
      <c r="I276" s="192"/>
      <c r="J276" s="192"/>
      <c r="K276" s="192">
        <f t="shared" si="31"/>
        <v>0</v>
      </c>
      <c r="L276" s="192">
        <f t="shared" si="32"/>
        <v>0</v>
      </c>
      <c r="M276" s="192">
        <v>416.3</v>
      </c>
      <c r="N276" s="192">
        <f t="shared" si="37"/>
        <v>1.7131687242798355</v>
      </c>
      <c r="O276" s="192"/>
      <c r="P276" s="192">
        <f t="shared" si="34"/>
        <v>0</v>
      </c>
      <c r="Q276" s="192"/>
      <c r="R276" s="19">
        <f t="shared" si="35"/>
        <v>0</v>
      </c>
      <c r="S276" s="192">
        <f t="shared" si="36"/>
        <v>0</v>
      </c>
      <c r="T276" s="20">
        <v>2</v>
      </c>
      <c r="U276" s="20"/>
      <c r="V276" s="198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95">
        <v>300334</v>
      </c>
      <c r="B277" s="190" t="s">
        <v>67</v>
      </c>
      <c r="C277" s="237" t="s">
        <v>86</v>
      </c>
      <c r="D277" s="238"/>
      <c r="E277" s="194" t="s">
        <v>85</v>
      </c>
      <c r="F277" s="196"/>
      <c r="G277" s="192"/>
      <c r="H277" s="192"/>
      <c r="I277" s="192"/>
      <c r="J277" s="192"/>
      <c r="K277" s="192">
        <f t="shared" si="31"/>
        <v>0</v>
      </c>
      <c r="L277" s="192">
        <f t="shared" si="32"/>
        <v>0</v>
      </c>
      <c r="M277" s="192">
        <v>416.3</v>
      </c>
      <c r="N277" s="192">
        <f t="shared" si="37"/>
        <v>1.7131687242798355</v>
      </c>
      <c r="O277" s="192"/>
      <c r="P277" s="192">
        <f t="shared" si="34"/>
        <v>0</v>
      </c>
      <c r="Q277" s="192"/>
      <c r="R277" s="19">
        <f t="shared" si="35"/>
        <v>0</v>
      </c>
      <c r="S277" s="192">
        <f t="shared" si="36"/>
        <v>0</v>
      </c>
      <c r="T277" s="20">
        <v>2</v>
      </c>
      <c r="U277" s="20"/>
      <c r="V277" s="198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95">
        <v>300335</v>
      </c>
      <c r="B278" s="190" t="s">
        <v>67</v>
      </c>
      <c r="C278" s="237" t="s">
        <v>86</v>
      </c>
      <c r="D278" s="238"/>
      <c r="E278" s="194" t="s">
        <v>49</v>
      </c>
      <c r="F278" s="196"/>
      <c r="G278" s="192"/>
      <c r="H278" s="192"/>
      <c r="I278" s="192"/>
      <c r="J278" s="192"/>
      <c r="K278" s="192">
        <f t="shared" si="31"/>
        <v>0</v>
      </c>
      <c r="L278" s="192">
        <f t="shared" si="32"/>
        <v>0</v>
      </c>
      <c r="M278" s="192">
        <v>416.3</v>
      </c>
      <c r="N278" s="192">
        <f t="shared" si="37"/>
        <v>1.7131687242798355</v>
      </c>
      <c r="O278" s="192"/>
      <c r="P278" s="192">
        <f t="shared" si="34"/>
        <v>0</v>
      </c>
      <c r="Q278" s="192"/>
      <c r="R278" s="19">
        <f t="shared" si="35"/>
        <v>0</v>
      </c>
      <c r="S278" s="192">
        <f t="shared" si="36"/>
        <v>0</v>
      </c>
      <c r="T278" s="20">
        <v>2</v>
      </c>
      <c r="U278" s="20"/>
      <c r="V278" s="198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95">
        <v>300291</v>
      </c>
      <c r="B279" s="190" t="s">
        <v>87</v>
      </c>
      <c r="C279" s="226" t="s">
        <v>88</v>
      </c>
      <c r="D279" s="226" t="s">
        <v>89</v>
      </c>
      <c r="E279" s="194" t="s">
        <v>42</v>
      </c>
      <c r="F279" s="196"/>
      <c r="G279" s="192"/>
      <c r="H279" s="192"/>
      <c r="I279" s="192"/>
      <c r="J279" s="192"/>
      <c r="K279" s="192">
        <f t="shared" si="31"/>
        <v>0</v>
      </c>
      <c r="L279" s="192">
        <f t="shared" si="32"/>
        <v>0</v>
      </c>
      <c r="M279" s="192">
        <v>517.79999999999995</v>
      </c>
      <c r="N279" s="192">
        <f>+M279*1000/(66.6*1*110*60)*T279</f>
        <v>4.7119847119847122</v>
      </c>
      <c r="O279" s="192"/>
      <c r="P279" s="192">
        <f t="shared" si="34"/>
        <v>0</v>
      </c>
      <c r="Q279" s="192"/>
      <c r="R279" s="19">
        <f t="shared" si="35"/>
        <v>0</v>
      </c>
      <c r="S279" s="192">
        <f t="shared" si="36"/>
        <v>0</v>
      </c>
      <c r="T279" s="20">
        <v>4</v>
      </c>
      <c r="U279" s="20"/>
      <c r="V279" s="19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95">
        <v>300292</v>
      </c>
      <c r="B280" s="190" t="s">
        <v>87</v>
      </c>
      <c r="C280" s="226" t="s">
        <v>88</v>
      </c>
      <c r="D280" s="226" t="s">
        <v>89</v>
      </c>
      <c r="E280" s="194" t="s">
        <v>41</v>
      </c>
      <c r="F280" s="196"/>
      <c r="G280" s="192"/>
      <c r="H280" s="192"/>
      <c r="I280" s="192"/>
      <c r="J280" s="192"/>
      <c r="K280" s="192">
        <f t="shared" si="31"/>
        <v>0</v>
      </c>
      <c r="L280" s="192">
        <f t="shared" si="32"/>
        <v>0</v>
      </c>
      <c r="M280" s="192">
        <v>517.79999999999995</v>
      </c>
      <c r="N280" s="192">
        <f>+M280*1000/(66.8*1*110*60)*T280</f>
        <v>4.6978769733260748</v>
      </c>
      <c r="O280" s="192"/>
      <c r="P280" s="192">
        <f t="shared" si="34"/>
        <v>0</v>
      </c>
      <c r="Q280" s="192"/>
      <c r="R280" s="19">
        <f t="shared" si="35"/>
        <v>0</v>
      </c>
      <c r="S280" s="192">
        <f t="shared" si="36"/>
        <v>0</v>
      </c>
      <c r="T280" s="20">
        <v>4</v>
      </c>
      <c r="U280" s="20"/>
      <c r="V280" s="19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95">
        <v>300293</v>
      </c>
      <c r="B281" s="190" t="s">
        <v>87</v>
      </c>
      <c r="C281" s="226" t="s">
        <v>88</v>
      </c>
      <c r="D281" s="226" t="s">
        <v>89</v>
      </c>
      <c r="E281" s="194" t="s">
        <v>57</v>
      </c>
      <c r="F281" s="196"/>
      <c r="G281" s="192"/>
      <c r="H281" s="192"/>
      <c r="I281" s="192"/>
      <c r="J281" s="192"/>
      <c r="K281" s="192">
        <f t="shared" si="31"/>
        <v>0</v>
      </c>
      <c r="L281" s="192">
        <f t="shared" si="32"/>
        <v>0</v>
      </c>
      <c r="M281" s="192">
        <v>517.9</v>
      </c>
      <c r="N281" s="192">
        <f>+M281*1000/(67.1*1*110*60)*T281</f>
        <v>4.6777762724111467</v>
      </c>
      <c r="O281" s="192"/>
      <c r="P281" s="192">
        <f t="shared" si="34"/>
        <v>0</v>
      </c>
      <c r="Q281" s="192"/>
      <c r="R281" s="19">
        <f t="shared" si="35"/>
        <v>0</v>
      </c>
      <c r="S281" s="192">
        <f t="shared" si="36"/>
        <v>0</v>
      </c>
      <c r="T281" s="20">
        <v>4</v>
      </c>
      <c r="U281" s="20"/>
      <c r="V281" s="19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95">
        <v>300290</v>
      </c>
      <c r="B282" s="190" t="s">
        <v>87</v>
      </c>
      <c r="C282" s="226" t="s">
        <v>88</v>
      </c>
      <c r="D282" s="226" t="s">
        <v>89</v>
      </c>
      <c r="E282" s="194" t="s">
        <v>35</v>
      </c>
      <c r="F282" s="196"/>
      <c r="G282" s="192"/>
      <c r="H282" s="192"/>
      <c r="I282" s="192"/>
      <c r="J282" s="192"/>
      <c r="K282" s="192">
        <f t="shared" si="31"/>
        <v>0</v>
      </c>
      <c r="L282" s="192">
        <f t="shared" si="32"/>
        <v>0</v>
      </c>
      <c r="M282" s="192">
        <v>520</v>
      </c>
      <c r="N282" s="192">
        <f>+M282*1000/(67.5*1*110*60)*T282</f>
        <v>4.6689113355780023</v>
      </c>
      <c r="O282" s="192"/>
      <c r="P282" s="192">
        <f t="shared" si="34"/>
        <v>0</v>
      </c>
      <c r="Q282" s="192"/>
      <c r="R282" s="19">
        <f t="shared" si="35"/>
        <v>0</v>
      </c>
      <c r="S282" s="192">
        <f t="shared" si="36"/>
        <v>0</v>
      </c>
      <c r="T282" s="20">
        <v>4</v>
      </c>
      <c r="U282" s="20"/>
      <c r="V282" s="19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95">
        <v>300389</v>
      </c>
      <c r="B283" s="190" t="s">
        <v>87</v>
      </c>
      <c r="C283" s="237" t="s">
        <v>90</v>
      </c>
      <c r="D283" s="238"/>
      <c r="E283" s="194" t="s">
        <v>35</v>
      </c>
      <c r="F283" s="196"/>
      <c r="G283" s="192"/>
      <c r="H283" s="192"/>
      <c r="I283" s="192"/>
      <c r="J283" s="192"/>
      <c r="K283" s="192">
        <f t="shared" si="31"/>
        <v>0</v>
      </c>
      <c r="L283" s="192">
        <f t="shared" si="32"/>
        <v>0</v>
      </c>
      <c r="M283" s="192">
        <v>429.4</v>
      </c>
      <c r="N283" s="192">
        <f>+M283*1000/(47*1*110*60)*T283</f>
        <v>5.5370728562217923</v>
      </c>
      <c r="O283" s="192"/>
      <c r="P283" s="192">
        <f t="shared" si="34"/>
        <v>0</v>
      </c>
      <c r="Q283" s="192"/>
      <c r="R283" s="19">
        <f t="shared" si="35"/>
        <v>0</v>
      </c>
      <c r="S283" s="192">
        <f t="shared" si="36"/>
        <v>0</v>
      </c>
      <c r="T283" s="20">
        <v>4</v>
      </c>
      <c r="U283" s="20"/>
      <c r="V283" s="19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95">
        <v>300058</v>
      </c>
      <c r="B284" s="190">
        <v>5001</v>
      </c>
      <c r="C284" s="226" t="s">
        <v>91</v>
      </c>
      <c r="D284" s="226" t="s">
        <v>89</v>
      </c>
      <c r="E284" s="194" t="s">
        <v>42</v>
      </c>
      <c r="F284" s="196"/>
      <c r="G284" s="192">
        <v>5</v>
      </c>
      <c r="H284" s="192"/>
      <c r="I284" s="192">
        <v>5</v>
      </c>
      <c r="J284" s="192"/>
      <c r="K284" s="192">
        <f t="shared" si="31"/>
        <v>2096</v>
      </c>
      <c r="L284" s="192">
        <f t="shared" si="32"/>
        <v>2096</v>
      </c>
      <c r="M284" s="192">
        <v>419.2</v>
      </c>
      <c r="N284" s="192">
        <f>+M284*1000/(51.5*1*110*60)*T284</f>
        <v>4.9332156516622536</v>
      </c>
      <c r="O284" s="192">
        <v>0.5</v>
      </c>
      <c r="P284" s="192">
        <f t="shared" si="34"/>
        <v>26.666078258311266</v>
      </c>
      <c r="Q284" s="192">
        <v>7</v>
      </c>
      <c r="R284" s="19">
        <f t="shared" si="35"/>
        <v>28</v>
      </c>
      <c r="S284" s="192">
        <f t="shared" si="36"/>
        <v>1.3339217416887337</v>
      </c>
      <c r="T284" s="20">
        <v>4</v>
      </c>
      <c r="U284" s="20">
        <v>4</v>
      </c>
      <c r="V284" s="198">
        <f t="array" ref="V284">IF(ISERROR(L284/K284),"",L284/K284)</f>
        <v>1</v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95">
        <v>300061</v>
      </c>
      <c r="B285" s="190" t="s">
        <v>87</v>
      </c>
      <c r="C285" s="226" t="s">
        <v>93</v>
      </c>
      <c r="D285" s="226" t="s">
        <v>94</v>
      </c>
      <c r="E285" s="194" t="s">
        <v>41</v>
      </c>
      <c r="F285" s="196"/>
      <c r="G285" s="192"/>
      <c r="H285" s="192"/>
      <c r="I285" s="192"/>
      <c r="J285" s="192"/>
      <c r="K285" s="192">
        <f t="shared" si="31"/>
        <v>0</v>
      </c>
      <c r="L285" s="192">
        <f t="shared" si="32"/>
        <v>0</v>
      </c>
      <c r="M285" s="192">
        <v>418.4</v>
      </c>
      <c r="N285" s="192">
        <f>+M285*1000/(51*1*110*60)*T285</f>
        <v>4.9720736779560308</v>
      </c>
      <c r="O285" s="192"/>
      <c r="P285" s="192">
        <f t="shared" si="34"/>
        <v>0</v>
      </c>
      <c r="Q285" s="192"/>
      <c r="R285" s="19">
        <f t="shared" si="35"/>
        <v>0</v>
      </c>
      <c r="S285" s="192">
        <f t="shared" si="36"/>
        <v>0</v>
      </c>
      <c r="T285" s="20">
        <v>4</v>
      </c>
      <c r="U285" s="20"/>
      <c r="V285" s="19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95">
        <v>300064</v>
      </c>
      <c r="B286" s="190">
        <v>5002</v>
      </c>
      <c r="C286" s="226" t="s">
        <v>95</v>
      </c>
      <c r="D286" s="226" t="s">
        <v>96</v>
      </c>
      <c r="E286" s="194" t="s">
        <v>35</v>
      </c>
      <c r="F286" s="196"/>
      <c r="G286" s="192"/>
      <c r="H286" s="192"/>
      <c r="I286" s="192"/>
      <c r="J286" s="192"/>
      <c r="K286" s="192">
        <f t="shared" ref="K286:K362" si="38">G286*M286</f>
        <v>0</v>
      </c>
      <c r="L286" s="192">
        <f t="shared" ref="L286:L362" si="39">I286*M286</f>
        <v>0</v>
      </c>
      <c r="M286" s="192">
        <v>419.2</v>
      </c>
      <c r="N286" s="192">
        <f>+M286*1000/(51.9*1*110*60)*T286</f>
        <v>4.8951947217843168</v>
      </c>
      <c r="O286" s="192"/>
      <c r="P286" s="192">
        <f t="shared" ref="P286:P362" si="40">N286*I286+O286*U286</f>
        <v>0</v>
      </c>
      <c r="Q286" s="192"/>
      <c r="R286" s="19">
        <f t="shared" ref="R286:R362" si="41">Q286*U286</f>
        <v>0</v>
      </c>
      <c r="S286" s="192">
        <f t="shared" ref="S286:S362" si="42">R286-P286</f>
        <v>0</v>
      </c>
      <c r="T286" s="20">
        <v>4</v>
      </c>
      <c r="U286" s="20"/>
      <c r="V286" s="19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95">
        <v>300060</v>
      </c>
      <c r="B287" s="190" t="s">
        <v>87</v>
      </c>
      <c r="C287" s="226" t="s">
        <v>93</v>
      </c>
      <c r="D287" s="226" t="s">
        <v>97</v>
      </c>
      <c r="E287" s="194" t="s">
        <v>57</v>
      </c>
      <c r="F287" s="196"/>
      <c r="G287" s="192"/>
      <c r="H287" s="192"/>
      <c r="I287" s="192"/>
      <c r="J287" s="192"/>
      <c r="K287" s="192">
        <f t="shared" si="38"/>
        <v>0</v>
      </c>
      <c r="L287" s="192">
        <f t="shared" si="39"/>
        <v>0</v>
      </c>
      <c r="M287" s="192">
        <v>416.9</v>
      </c>
      <c r="N287" s="192">
        <f>+M287*1000/(51*1*110*60)*T287</f>
        <v>4.9542483660130721</v>
      </c>
      <c r="O287" s="192"/>
      <c r="P287" s="192">
        <f t="shared" si="40"/>
        <v>0</v>
      </c>
      <c r="Q287" s="192"/>
      <c r="R287" s="19">
        <f t="shared" si="41"/>
        <v>0</v>
      </c>
      <c r="S287" s="192">
        <f t="shared" si="42"/>
        <v>0</v>
      </c>
      <c r="T287" s="20">
        <v>4</v>
      </c>
      <c r="U287" s="20"/>
      <c r="V287" s="19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95">
        <v>300068</v>
      </c>
      <c r="B288" s="190" t="s">
        <v>87</v>
      </c>
      <c r="C288" s="226" t="s">
        <v>98</v>
      </c>
      <c r="D288" s="226" t="s">
        <v>99</v>
      </c>
      <c r="E288" s="194" t="s">
        <v>37</v>
      </c>
      <c r="F288" s="196"/>
      <c r="G288" s="192"/>
      <c r="H288" s="192"/>
      <c r="I288" s="192"/>
      <c r="J288" s="192"/>
      <c r="K288" s="192">
        <f t="shared" si="38"/>
        <v>0</v>
      </c>
      <c r="L288" s="192">
        <f t="shared" si="39"/>
        <v>0</v>
      </c>
      <c r="M288" s="192">
        <v>438.4</v>
      </c>
      <c r="N288" s="192">
        <f>+M288*1000/(50*1*120*60)*T288</f>
        <v>4.8711111111111114</v>
      </c>
      <c r="O288" s="192"/>
      <c r="P288" s="192">
        <f t="shared" si="40"/>
        <v>0</v>
      </c>
      <c r="Q288" s="192"/>
      <c r="R288" s="19">
        <f t="shared" si="41"/>
        <v>0</v>
      </c>
      <c r="S288" s="192">
        <f t="shared" si="42"/>
        <v>0</v>
      </c>
      <c r="T288" s="20">
        <v>4</v>
      </c>
      <c r="U288" s="20"/>
      <c r="V288" s="19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95">
        <v>300065</v>
      </c>
      <c r="B289" s="190" t="s">
        <v>87</v>
      </c>
      <c r="C289" s="226" t="s">
        <v>98</v>
      </c>
      <c r="D289" s="226" t="s">
        <v>99</v>
      </c>
      <c r="E289" s="194" t="s">
        <v>35</v>
      </c>
      <c r="F289" s="196"/>
      <c r="G289" s="192"/>
      <c r="H289" s="192"/>
      <c r="I289" s="192"/>
      <c r="J289" s="192"/>
      <c r="K289" s="192">
        <f t="shared" si="38"/>
        <v>0</v>
      </c>
      <c r="L289" s="192">
        <f t="shared" si="39"/>
        <v>0</v>
      </c>
      <c r="M289" s="192">
        <v>438.8</v>
      </c>
      <c r="N289" s="192">
        <f>+M289*1000/(50*1*120*60)*T289</f>
        <v>4.8755555555555556</v>
      </c>
      <c r="O289" s="192"/>
      <c r="P289" s="192">
        <f t="shared" si="40"/>
        <v>0</v>
      </c>
      <c r="Q289" s="192"/>
      <c r="R289" s="19">
        <f t="shared" si="41"/>
        <v>0</v>
      </c>
      <c r="S289" s="192">
        <f t="shared" si="42"/>
        <v>0</v>
      </c>
      <c r="T289" s="20">
        <v>4</v>
      </c>
      <c r="U289" s="195"/>
      <c r="V289" s="19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95">
        <v>300066</v>
      </c>
      <c r="B290" s="190" t="s">
        <v>87</v>
      </c>
      <c r="C290" s="226" t="s">
        <v>98</v>
      </c>
      <c r="D290" s="226" t="s">
        <v>99</v>
      </c>
      <c r="E290" s="194" t="s">
        <v>66</v>
      </c>
      <c r="F290" s="196"/>
      <c r="G290" s="192"/>
      <c r="H290" s="192"/>
      <c r="I290" s="192"/>
      <c r="J290" s="192"/>
      <c r="K290" s="192">
        <f t="shared" si="38"/>
        <v>0</v>
      </c>
      <c r="L290" s="192">
        <f t="shared" si="39"/>
        <v>0</v>
      </c>
      <c r="M290" s="192">
        <v>438.4</v>
      </c>
      <c r="N290" s="192">
        <f>+M290*1000/(50*1*120*60)*T290</f>
        <v>4.8711111111111114</v>
      </c>
      <c r="O290" s="192"/>
      <c r="P290" s="192">
        <f t="shared" si="40"/>
        <v>0</v>
      </c>
      <c r="Q290" s="192"/>
      <c r="R290" s="19">
        <f t="shared" si="41"/>
        <v>0</v>
      </c>
      <c r="S290" s="192">
        <f t="shared" si="42"/>
        <v>0</v>
      </c>
      <c r="T290" s="20">
        <v>4</v>
      </c>
      <c r="U290" s="195"/>
      <c r="V290" s="198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95">
        <v>300067</v>
      </c>
      <c r="B291" s="190" t="s">
        <v>87</v>
      </c>
      <c r="C291" s="226" t="s">
        <v>98</v>
      </c>
      <c r="D291" s="226" t="s">
        <v>99</v>
      </c>
      <c r="E291" s="194" t="s">
        <v>41</v>
      </c>
      <c r="F291" s="196"/>
      <c r="G291" s="192"/>
      <c r="H291" s="192"/>
      <c r="I291" s="192"/>
      <c r="J291" s="192"/>
      <c r="K291" s="192">
        <f t="shared" si="38"/>
        <v>0</v>
      </c>
      <c r="L291" s="192">
        <f t="shared" si="39"/>
        <v>0</v>
      </c>
      <c r="M291" s="192">
        <v>438.8</v>
      </c>
      <c r="N291" s="192">
        <f>+M291*1000/(50*1*120*60)*T291</f>
        <v>4.8755555555555556</v>
      </c>
      <c r="O291" s="192"/>
      <c r="P291" s="192">
        <f t="shared" si="40"/>
        <v>0</v>
      </c>
      <c r="Q291" s="192"/>
      <c r="R291" s="19">
        <f t="shared" si="41"/>
        <v>0</v>
      </c>
      <c r="S291" s="192">
        <f t="shared" si="42"/>
        <v>0</v>
      </c>
      <c r="T291" s="20">
        <v>4</v>
      </c>
      <c r="U291" s="20"/>
      <c r="V291" s="19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203" t="s">
        <v>87</v>
      </c>
      <c r="C292" s="239" t="s">
        <v>98</v>
      </c>
      <c r="D292" s="239" t="s">
        <v>99</v>
      </c>
      <c r="E292" s="42" t="s">
        <v>310</v>
      </c>
      <c r="F292" s="127"/>
      <c r="G292" s="192"/>
      <c r="H292" s="192"/>
      <c r="I292" s="192"/>
      <c r="J292" s="192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95">
        <v>300384</v>
      </c>
      <c r="B293" s="190" t="s">
        <v>87</v>
      </c>
      <c r="C293" s="226" t="s">
        <v>100</v>
      </c>
      <c r="D293" s="226" t="s">
        <v>101</v>
      </c>
      <c r="E293" s="194" t="s">
        <v>35</v>
      </c>
      <c r="F293" s="196"/>
      <c r="G293" s="192"/>
      <c r="H293" s="192"/>
      <c r="I293" s="192"/>
      <c r="J293" s="192"/>
      <c r="K293" s="192">
        <f t="shared" si="38"/>
        <v>0</v>
      </c>
      <c r="L293" s="192">
        <f t="shared" si="39"/>
        <v>0</v>
      </c>
      <c r="M293" s="192">
        <v>415.5</v>
      </c>
      <c r="N293" s="192">
        <f>+M293*1000/(51*1*110*60)*T293</f>
        <v>8.6408199643493759</v>
      </c>
      <c r="O293" s="192"/>
      <c r="P293" s="192">
        <f t="shared" si="40"/>
        <v>0</v>
      </c>
      <c r="Q293" s="192"/>
      <c r="R293" s="19">
        <f t="shared" si="41"/>
        <v>0</v>
      </c>
      <c r="S293" s="192">
        <f t="shared" si="42"/>
        <v>0</v>
      </c>
      <c r="T293" s="20">
        <v>7</v>
      </c>
      <c r="U293" s="20"/>
      <c r="V293" s="19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95">
        <v>300383</v>
      </c>
      <c r="B294" s="190" t="s">
        <v>87</v>
      </c>
      <c r="C294" s="226" t="s">
        <v>100</v>
      </c>
      <c r="D294" s="226" t="s">
        <v>102</v>
      </c>
      <c r="E294" s="194" t="s">
        <v>41</v>
      </c>
      <c r="F294" s="196"/>
      <c r="G294" s="192"/>
      <c r="H294" s="192"/>
      <c r="I294" s="192"/>
      <c r="J294" s="192"/>
      <c r="K294" s="192">
        <f t="shared" si="38"/>
        <v>0</v>
      </c>
      <c r="L294" s="192">
        <f t="shared" si="39"/>
        <v>0</v>
      </c>
      <c r="M294" s="192">
        <v>415.5</v>
      </c>
      <c r="N294" s="192">
        <f>+M294*1000/(51*1*110*60)*T294</f>
        <v>8.6408199643493759</v>
      </c>
      <c r="O294" s="192"/>
      <c r="P294" s="192">
        <f t="shared" si="40"/>
        <v>0</v>
      </c>
      <c r="Q294" s="192"/>
      <c r="R294" s="19">
        <f t="shared" si="41"/>
        <v>0</v>
      </c>
      <c r="S294" s="192">
        <f t="shared" si="42"/>
        <v>0</v>
      </c>
      <c r="T294" s="20">
        <v>7</v>
      </c>
      <c r="U294" s="20"/>
      <c r="V294" s="198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95">
        <v>300386</v>
      </c>
      <c r="B295" s="190" t="s">
        <v>87</v>
      </c>
      <c r="C295" s="226" t="s">
        <v>100</v>
      </c>
      <c r="D295" s="226" t="s">
        <v>103</v>
      </c>
      <c r="E295" s="194" t="s">
        <v>66</v>
      </c>
      <c r="F295" s="196"/>
      <c r="G295" s="192"/>
      <c r="H295" s="192"/>
      <c r="I295" s="192"/>
      <c r="J295" s="192"/>
      <c r="K295" s="192">
        <f t="shared" si="38"/>
        <v>0</v>
      </c>
      <c r="L295" s="192">
        <f t="shared" si="39"/>
        <v>0</v>
      </c>
      <c r="M295" s="192">
        <v>415.5</v>
      </c>
      <c r="N295" s="192">
        <f>+M295*1000/(51*1*110*60)*T295</f>
        <v>8.6408199643493759</v>
      </c>
      <c r="O295" s="192"/>
      <c r="P295" s="192">
        <f t="shared" si="40"/>
        <v>0</v>
      </c>
      <c r="Q295" s="192"/>
      <c r="R295" s="19">
        <f t="shared" si="41"/>
        <v>0</v>
      </c>
      <c r="S295" s="192">
        <f t="shared" si="42"/>
        <v>0</v>
      </c>
      <c r="T295" s="20">
        <v>7</v>
      </c>
      <c r="U295" s="20"/>
      <c r="V295" s="198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95">
        <v>300385</v>
      </c>
      <c r="B296" s="190" t="s">
        <v>87</v>
      </c>
      <c r="C296" s="226" t="s">
        <v>100</v>
      </c>
      <c r="D296" s="226" t="s">
        <v>104</v>
      </c>
      <c r="E296" s="194" t="s">
        <v>105</v>
      </c>
      <c r="F296" s="196"/>
      <c r="G296" s="192"/>
      <c r="H296" s="192"/>
      <c r="I296" s="192"/>
      <c r="J296" s="192"/>
      <c r="K296" s="192">
        <f t="shared" si="38"/>
        <v>0</v>
      </c>
      <c r="L296" s="192">
        <f t="shared" si="39"/>
        <v>0</v>
      </c>
      <c r="M296" s="192">
        <v>415.5</v>
      </c>
      <c r="N296" s="192">
        <f>+M296*1000/(51*1*110*60)*T296</f>
        <v>8.6408199643493759</v>
      </c>
      <c r="O296" s="192"/>
      <c r="P296" s="192">
        <f t="shared" si="40"/>
        <v>0</v>
      </c>
      <c r="Q296" s="192"/>
      <c r="R296" s="19">
        <f t="shared" si="41"/>
        <v>0</v>
      </c>
      <c r="S296" s="192">
        <f t="shared" si="42"/>
        <v>0</v>
      </c>
      <c r="T296" s="20">
        <v>7</v>
      </c>
      <c r="U296" s="20"/>
      <c r="V296" s="198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95">
        <v>300352</v>
      </c>
      <c r="B297" s="190" t="s">
        <v>87</v>
      </c>
      <c r="C297" s="226" t="s">
        <v>106</v>
      </c>
      <c r="D297" s="226" t="s">
        <v>101</v>
      </c>
      <c r="E297" s="194" t="s">
        <v>35</v>
      </c>
      <c r="F297" s="196"/>
      <c r="G297" s="192"/>
      <c r="H297" s="192"/>
      <c r="I297" s="192"/>
      <c r="J297" s="192"/>
      <c r="K297" s="192">
        <f t="shared" si="38"/>
        <v>0</v>
      </c>
      <c r="L297" s="192">
        <f t="shared" si="39"/>
        <v>0</v>
      </c>
      <c r="M297" s="192">
        <v>515.9</v>
      </c>
      <c r="N297" s="192">
        <f>+M297*1000/(80*1*110*60)*T297</f>
        <v>6.8395833333333336</v>
      </c>
      <c r="O297" s="192"/>
      <c r="P297" s="192">
        <f t="shared" si="40"/>
        <v>0</v>
      </c>
      <c r="Q297" s="192"/>
      <c r="R297" s="19">
        <f t="shared" si="41"/>
        <v>0</v>
      </c>
      <c r="S297" s="192">
        <f t="shared" si="42"/>
        <v>0</v>
      </c>
      <c r="T297" s="20">
        <v>7</v>
      </c>
      <c r="U297" s="20"/>
      <c r="V297" s="19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95">
        <v>300353</v>
      </c>
      <c r="B298" s="190" t="s">
        <v>87</v>
      </c>
      <c r="C298" s="226" t="s">
        <v>106</v>
      </c>
      <c r="D298" s="226" t="s">
        <v>101</v>
      </c>
      <c r="E298" s="194" t="s">
        <v>105</v>
      </c>
      <c r="F298" s="196"/>
      <c r="G298" s="192"/>
      <c r="H298" s="192"/>
      <c r="I298" s="192"/>
      <c r="J298" s="192"/>
      <c r="K298" s="192">
        <f t="shared" si="38"/>
        <v>0</v>
      </c>
      <c r="L298" s="192">
        <f t="shared" si="39"/>
        <v>0</v>
      </c>
      <c r="M298" s="192">
        <v>515.9</v>
      </c>
      <c r="N298" s="192">
        <f>+M298*1000/(80*1*110*60)*T298</f>
        <v>6.8395833333333336</v>
      </c>
      <c r="O298" s="192"/>
      <c r="P298" s="192">
        <f t="shared" si="40"/>
        <v>0</v>
      </c>
      <c r="Q298" s="192"/>
      <c r="R298" s="19">
        <f t="shared" si="41"/>
        <v>0</v>
      </c>
      <c r="S298" s="192">
        <f t="shared" si="42"/>
        <v>0</v>
      </c>
      <c r="T298" s="20">
        <v>7</v>
      </c>
      <c r="U298" s="20"/>
      <c r="V298" s="19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95">
        <v>300351</v>
      </c>
      <c r="B299" s="190" t="s">
        <v>87</v>
      </c>
      <c r="C299" s="226" t="s">
        <v>106</v>
      </c>
      <c r="D299" s="226" t="s">
        <v>101</v>
      </c>
      <c r="E299" s="194" t="s">
        <v>41</v>
      </c>
      <c r="F299" s="196"/>
      <c r="G299" s="192"/>
      <c r="H299" s="192"/>
      <c r="I299" s="192"/>
      <c r="J299" s="192"/>
      <c r="K299" s="192">
        <f t="shared" si="38"/>
        <v>0</v>
      </c>
      <c r="L299" s="192">
        <f t="shared" si="39"/>
        <v>0</v>
      </c>
      <c r="M299" s="192">
        <v>515.9</v>
      </c>
      <c r="N299" s="192">
        <f>+M299*1000/(80*1*110*60)*T299</f>
        <v>6.8395833333333336</v>
      </c>
      <c r="O299" s="192"/>
      <c r="P299" s="192">
        <f t="shared" si="40"/>
        <v>0</v>
      </c>
      <c r="Q299" s="192"/>
      <c r="R299" s="19">
        <f t="shared" si="41"/>
        <v>0</v>
      </c>
      <c r="S299" s="192">
        <f t="shared" si="42"/>
        <v>0</v>
      </c>
      <c r="T299" s="20">
        <v>7</v>
      </c>
      <c r="U299" s="20"/>
      <c r="V299" s="19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95">
        <v>300354</v>
      </c>
      <c r="B300" s="190" t="s">
        <v>87</v>
      </c>
      <c r="C300" s="226" t="s">
        <v>106</v>
      </c>
      <c r="D300" s="226" t="s">
        <v>101</v>
      </c>
      <c r="E300" s="194" t="s">
        <v>66</v>
      </c>
      <c r="F300" s="196"/>
      <c r="G300" s="192"/>
      <c r="H300" s="192"/>
      <c r="I300" s="192"/>
      <c r="J300" s="192"/>
      <c r="K300" s="192">
        <f t="shared" si="38"/>
        <v>0</v>
      </c>
      <c r="L300" s="192">
        <f t="shared" si="39"/>
        <v>0</v>
      </c>
      <c r="M300" s="192">
        <v>515.9</v>
      </c>
      <c r="N300" s="192">
        <f>+M300*1000/(80*1*110*60)*T300</f>
        <v>6.8395833333333336</v>
      </c>
      <c r="O300" s="192"/>
      <c r="P300" s="192">
        <f t="shared" si="40"/>
        <v>0</v>
      </c>
      <c r="Q300" s="192"/>
      <c r="R300" s="19">
        <f t="shared" si="41"/>
        <v>0</v>
      </c>
      <c r="S300" s="192">
        <f t="shared" si="42"/>
        <v>0</v>
      </c>
      <c r="T300" s="20">
        <v>7</v>
      </c>
      <c r="U300" s="20"/>
      <c r="V300" s="19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95">
        <v>300250</v>
      </c>
      <c r="B301" s="190" t="s">
        <v>87</v>
      </c>
      <c r="C301" s="226" t="s">
        <v>107</v>
      </c>
      <c r="D301" s="226" t="s">
        <v>101</v>
      </c>
      <c r="E301" s="194" t="s">
        <v>35</v>
      </c>
      <c r="F301" s="196"/>
      <c r="G301" s="192"/>
      <c r="H301" s="192"/>
      <c r="I301" s="192"/>
      <c r="J301" s="192"/>
      <c r="K301" s="192">
        <f t="shared" si="38"/>
        <v>0</v>
      </c>
      <c r="L301" s="192">
        <f t="shared" si="39"/>
        <v>0</v>
      </c>
      <c r="M301" s="192">
        <v>412.5</v>
      </c>
      <c r="N301" s="192">
        <f>+M301*1000/(84*1*110*60)*T301</f>
        <v>5.2083333333333339</v>
      </c>
      <c r="O301" s="192"/>
      <c r="P301" s="192">
        <f t="shared" si="40"/>
        <v>0</v>
      </c>
      <c r="Q301" s="192"/>
      <c r="R301" s="19">
        <f t="shared" si="41"/>
        <v>0</v>
      </c>
      <c r="S301" s="192">
        <f t="shared" si="42"/>
        <v>0</v>
      </c>
      <c r="T301" s="20">
        <v>7</v>
      </c>
      <c r="U301" s="20"/>
      <c r="V301" s="19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95">
        <v>300251</v>
      </c>
      <c r="B302" s="190" t="s">
        <v>87</v>
      </c>
      <c r="C302" s="226" t="s">
        <v>107</v>
      </c>
      <c r="D302" s="226" t="s">
        <v>101</v>
      </c>
      <c r="E302" s="194" t="s">
        <v>105</v>
      </c>
      <c r="F302" s="196"/>
      <c r="G302" s="192"/>
      <c r="H302" s="192"/>
      <c r="I302" s="192"/>
      <c r="J302" s="192"/>
      <c r="K302" s="192">
        <f t="shared" si="38"/>
        <v>0</v>
      </c>
      <c r="L302" s="192">
        <f t="shared" si="39"/>
        <v>0</v>
      </c>
      <c r="M302" s="192">
        <v>412.5</v>
      </c>
      <c r="N302" s="192">
        <f>+M302*1000/(84*1*110*60)*T302</f>
        <v>5.2083333333333339</v>
      </c>
      <c r="O302" s="192"/>
      <c r="P302" s="192">
        <f t="shared" si="40"/>
        <v>0</v>
      </c>
      <c r="Q302" s="192"/>
      <c r="R302" s="19">
        <f t="shared" si="41"/>
        <v>0</v>
      </c>
      <c r="S302" s="192">
        <f t="shared" si="42"/>
        <v>0</v>
      </c>
      <c r="T302" s="20">
        <v>7</v>
      </c>
      <c r="U302" s="20"/>
      <c r="V302" s="19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95">
        <v>300254</v>
      </c>
      <c r="B303" s="190" t="s">
        <v>87</v>
      </c>
      <c r="C303" s="226" t="s">
        <v>107</v>
      </c>
      <c r="D303" s="226" t="s">
        <v>101</v>
      </c>
      <c r="E303" s="194" t="s">
        <v>41</v>
      </c>
      <c r="F303" s="196"/>
      <c r="G303" s="192"/>
      <c r="H303" s="192"/>
      <c r="I303" s="192"/>
      <c r="J303" s="192"/>
      <c r="K303" s="192">
        <f t="shared" si="38"/>
        <v>0</v>
      </c>
      <c r="L303" s="192">
        <f t="shared" si="39"/>
        <v>0</v>
      </c>
      <c r="M303" s="192">
        <v>412.5</v>
      </c>
      <c r="N303" s="192">
        <f>+M303*1000/(84*1*110*60)*T303</f>
        <v>5.2083333333333339</v>
      </c>
      <c r="O303" s="192"/>
      <c r="P303" s="192">
        <f t="shared" si="40"/>
        <v>0</v>
      </c>
      <c r="Q303" s="192"/>
      <c r="R303" s="19">
        <f t="shared" si="41"/>
        <v>0</v>
      </c>
      <c r="S303" s="192">
        <f t="shared" si="42"/>
        <v>0</v>
      </c>
      <c r="T303" s="20">
        <v>7</v>
      </c>
      <c r="U303" s="20"/>
      <c r="V303" s="19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95">
        <v>300253</v>
      </c>
      <c r="B304" s="190" t="s">
        <v>87</v>
      </c>
      <c r="C304" s="226" t="s">
        <v>107</v>
      </c>
      <c r="D304" s="226" t="s">
        <v>101</v>
      </c>
      <c r="E304" s="194" t="s">
        <v>66</v>
      </c>
      <c r="F304" s="196"/>
      <c r="G304" s="192"/>
      <c r="H304" s="192"/>
      <c r="I304" s="192"/>
      <c r="J304" s="192"/>
      <c r="K304" s="192">
        <f t="shared" si="38"/>
        <v>0</v>
      </c>
      <c r="L304" s="192">
        <f t="shared" si="39"/>
        <v>0</v>
      </c>
      <c r="M304" s="192">
        <v>412.5</v>
      </c>
      <c r="N304" s="192">
        <f>+M304*1000/(84*1*110*60)*T304</f>
        <v>5.2083333333333339</v>
      </c>
      <c r="O304" s="192"/>
      <c r="P304" s="192">
        <f t="shared" si="40"/>
        <v>0</v>
      </c>
      <c r="Q304" s="192"/>
      <c r="R304" s="19">
        <f t="shared" si="41"/>
        <v>0</v>
      </c>
      <c r="S304" s="192">
        <f t="shared" si="42"/>
        <v>0</v>
      </c>
      <c r="T304" s="20">
        <v>7</v>
      </c>
      <c r="U304" s="20"/>
      <c r="V304" s="19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95">
        <v>300255</v>
      </c>
      <c r="B305" s="190" t="s">
        <v>87</v>
      </c>
      <c r="C305" s="226" t="s">
        <v>107</v>
      </c>
      <c r="D305" s="226" t="s">
        <v>101</v>
      </c>
      <c r="E305" s="194" t="s">
        <v>108</v>
      </c>
      <c r="F305" s="196"/>
      <c r="G305" s="192"/>
      <c r="H305" s="192"/>
      <c r="I305" s="192"/>
      <c r="J305" s="192"/>
      <c r="K305" s="192">
        <f t="shared" si="38"/>
        <v>0</v>
      </c>
      <c r="L305" s="192">
        <f t="shared" si="39"/>
        <v>0</v>
      </c>
      <c r="M305" s="192">
        <v>412.5</v>
      </c>
      <c r="N305" s="192">
        <f>+M305*1000/(84*1*110*60)*T305</f>
        <v>5.2083333333333339</v>
      </c>
      <c r="O305" s="192"/>
      <c r="P305" s="192">
        <f t="shared" si="40"/>
        <v>0</v>
      </c>
      <c r="Q305" s="192"/>
      <c r="R305" s="19">
        <f t="shared" si="41"/>
        <v>0</v>
      </c>
      <c r="S305" s="192">
        <f t="shared" si="42"/>
        <v>0</v>
      </c>
      <c r="T305" s="20">
        <v>7</v>
      </c>
      <c r="U305" s="20"/>
      <c r="V305" s="19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95">
        <v>300392</v>
      </c>
      <c r="B306" s="190" t="s">
        <v>87</v>
      </c>
      <c r="C306" s="237" t="s">
        <v>109</v>
      </c>
      <c r="D306" s="238"/>
      <c r="E306" s="194" t="s">
        <v>105</v>
      </c>
      <c r="F306" s="195"/>
      <c r="G306" s="192"/>
      <c r="H306" s="192"/>
      <c r="I306" s="192"/>
      <c r="J306" s="192"/>
      <c r="K306" s="192">
        <f t="shared" si="38"/>
        <v>0</v>
      </c>
      <c r="L306" s="192">
        <f t="shared" si="39"/>
        <v>0</v>
      </c>
      <c r="M306" s="192">
        <v>523</v>
      </c>
      <c r="N306" s="192">
        <f>+M306*1000/(98*1*80*60)*T306</f>
        <v>7.7827380952380958</v>
      </c>
      <c r="O306" s="192"/>
      <c r="P306" s="192">
        <f t="shared" si="40"/>
        <v>0</v>
      </c>
      <c r="Q306" s="192"/>
      <c r="R306" s="19">
        <f t="shared" si="41"/>
        <v>0</v>
      </c>
      <c r="S306" s="192">
        <f t="shared" si="42"/>
        <v>0</v>
      </c>
      <c r="T306" s="20">
        <v>7</v>
      </c>
      <c r="U306" s="20"/>
      <c r="V306" s="19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95">
        <v>300088</v>
      </c>
      <c r="B307" s="190">
        <v>5001</v>
      </c>
      <c r="C307" s="226" t="s">
        <v>110</v>
      </c>
      <c r="D307" s="226" t="s">
        <v>111</v>
      </c>
      <c r="E307" s="194" t="s">
        <v>39</v>
      </c>
      <c r="F307" s="196"/>
      <c r="G307" s="192">
        <v>3</v>
      </c>
      <c r="H307" s="192"/>
      <c r="I307" s="192">
        <f>3-(260/600)</f>
        <v>2.5666666666666664</v>
      </c>
      <c r="J307" s="192">
        <f>260</f>
        <v>260</v>
      </c>
      <c r="K307" s="192">
        <f t="shared" si="38"/>
        <v>1853.3999999999999</v>
      </c>
      <c r="L307" s="192">
        <f t="shared" si="39"/>
        <v>1585.6866666666665</v>
      </c>
      <c r="M307" s="192">
        <v>617.79999999999995</v>
      </c>
      <c r="N307" s="192">
        <f>+M307*1000/(123*1*80*60)*T307</f>
        <v>3.1392276422764223</v>
      </c>
      <c r="O307" s="192">
        <v>0.5</v>
      </c>
      <c r="P307" s="192">
        <f t="shared" si="40"/>
        <v>10.057350948509484</v>
      </c>
      <c r="Q307" s="192">
        <v>2</v>
      </c>
      <c r="R307" s="19">
        <f t="shared" si="41"/>
        <v>8</v>
      </c>
      <c r="S307" s="192">
        <f t="shared" si="42"/>
        <v>-2.0573509485094839</v>
      </c>
      <c r="T307" s="20">
        <v>3</v>
      </c>
      <c r="U307" s="20">
        <v>4</v>
      </c>
      <c r="V307" s="198">
        <f t="array" ref="V307">IF(ISERROR(L307/K307),"",L307/K307)</f>
        <v>0.85555555555555551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95">
        <v>300089</v>
      </c>
      <c r="B308" s="190">
        <v>5001</v>
      </c>
      <c r="C308" s="226" t="s">
        <v>110</v>
      </c>
      <c r="D308" s="226" t="s">
        <v>111</v>
      </c>
      <c r="E308" s="194" t="s">
        <v>42</v>
      </c>
      <c r="F308" s="196"/>
      <c r="G308" s="192">
        <v>2.08</v>
      </c>
      <c r="H308" s="192">
        <f>50/600</f>
        <v>8.3333333333333329E-2</v>
      </c>
      <c r="I308" s="192">
        <f>2+H308</f>
        <v>2.0833333333333335</v>
      </c>
      <c r="J308" s="192"/>
      <c r="K308" s="192">
        <f t="shared" si="38"/>
        <v>1286.6880000000001</v>
      </c>
      <c r="L308" s="192">
        <f t="shared" si="39"/>
        <v>1288.7500000000002</v>
      </c>
      <c r="M308" s="192">
        <v>618.6</v>
      </c>
      <c r="N308" s="192">
        <f>+M308*1000/(124*1*80*60)*T308</f>
        <v>3.117943548387097</v>
      </c>
      <c r="O308" s="192"/>
      <c r="P308" s="192">
        <f t="shared" si="40"/>
        <v>6.4957157258064528</v>
      </c>
      <c r="Q308" s="192">
        <v>2</v>
      </c>
      <c r="R308" s="19">
        <f t="shared" si="41"/>
        <v>8</v>
      </c>
      <c r="S308" s="192">
        <f t="shared" si="42"/>
        <v>1.5042842741935472</v>
      </c>
      <c r="T308" s="20">
        <v>3</v>
      </c>
      <c r="U308" s="20">
        <v>4</v>
      </c>
      <c r="V308" s="198">
        <f t="array" ref="V308">IF(ISERROR(L308/K308),"",L308/K308)</f>
        <v>1.0016025641025641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95">
        <v>300128</v>
      </c>
      <c r="B309" s="190" t="s">
        <v>87</v>
      </c>
      <c r="C309" s="226" t="s">
        <v>112</v>
      </c>
      <c r="D309" s="226" t="s">
        <v>113</v>
      </c>
      <c r="E309" s="194" t="s">
        <v>35</v>
      </c>
      <c r="F309" s="196"/>
      <c r="G309" s="192"/>
      <c r="H309" s="192"/>
      <c r="I309" s="192"/>
      <c r="J309" s="192"/>
      <c r="K309" s="192">
        <f t="shared" si="38"/>
        <v>0</v>
      </c>
      <c r="L309" s="192">
        <f t="shared" si="39"/>
        <v>0</v>
      </c>
      <c r="M309" s="192">
        <v>621.29999999999995</v>
      </c>
      <c r="N309" s="192">
        <f t="shared" ref="N309:N314" si="43">+M309*1000/(130.5*1*80*60)*T309</f>
        <v>3.9674329501915708</v>
      </c>
      <c r="O309" s="192"/>
      <c r="P309" s="192">
        <f t="shared" si="40"/>
        <v>0</v>
      </c>
      <c r="Q309" s="192"/>
      <c r="R309" s="19">
        <f t="shared" si="41"/>
        <v>0</v>
      </c>
      <c r="S309" s="192">
        <f t="shared" si="42"/>
        <v>0</v>
      </c>
      <c r="T309" s="20">
        <v>4</v>
      </c>
      <c r="U309" s="20"/>
      <c r="V309" s="19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95">
        <v>300129</v>
      </c>
      <c r="B310" s="190" t="s">
        <v>87</v>
      </c>
      <c r="C310" s="226" t="s">
        <v>112</v>
      </c>
      <c r="D310" s="226" t="s">
        <v>113</v>
      </c>
      <c r="E310" s="194" t="s">
        <v>41</v>
      </c>
      <c r="F310" s="196"/>
      <c r="G310" s="192"/>
      <c r="H310" s="192"/>
      <c r="I310" s="192"/>
      <c r="J310" s="192"/>
      <c r="K310" s="192">
        <f t="shared" si="38"/>
        <v>0</v>
      </c>
      <c r="L310" s="192">
        <f t="shared" si="39"/>
        <v>0</v>
      </c>
      <c r="M310" s="192">
        <v>621.29999999999995</v>
      </c>
      <c r="N310" s="192">
        <f t="shared" si="43"/>
        <v>3.9674329501915708</v>
      </c>
      <c r="O310" s="192"/>
      <c r="P310" s="192">
        <f t="shared" si="40"/>
        <v>0</v>
      </c>
      <c r="Q310" s="192"/>
      <c r="R310" s="19">
        <f t="shared" si="41"/>
        <v>0</v>
      </c>
      <c r="S310" s="192">
        <f t="shared" si="42"/>
        <v>0</v>
      </c>
      <c r="T310" s="20">
        <v>4</v>
      </c>
      <c r="U310" s="20"/>
      <c r="V310" s="19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95">
        <v>300130</v>
      </c>
      <c r="B311" s="190" t="s">
        <v>87</v>
      </c>
      <c r="C311" s="226" t="s">
        <v>112</v>
      </c>
      <c r="D311" s="226" t="s">
        <v>113</v>
      </c>
      <c r="E311" s="194" t="s">
        <v>37</v>
      </c>
      <c r="F311" s="196"/>
      <c r="G311" s="192"/>
      <c r="H311" s="192"/>
      <c r="I311" s="192"/>
      <c r="J311" s="192"/>
      <c r="K311" s="192">
        <f t="shared" si="38"/>
        <v>0</v>
      </c>
      <c r="L311" s="192">
        <f t="shared" si="39"/>
        <v>0</v>
      </c>
      <c r="M311" s="192">
        <v>621.29999999999995</v>
      </c>
      <c r="N311" s="192">
        <f t="shared" si="43"/>
        <v>3.9674329501915708</v>
      </c>
      <c r="O311" s="192"/>
      <c r="P311" s="192">
        <f t="shared" si="40"/>
        <v>0</v>
      </c>
      <c r="Q311" s="192"/>
      <c r="R311" s="19">
        <f t="shared" si="41"/>
        <v>0</v>
      </c>
      <c r="S311" s="192">
        <f t="shared" si="42"/>
        <v>0</v>
      </c>
      <c r="T311" s="20">
        <v>4</v>
      </c>
      <c r="U311" s="20"/>
      <c r="V311" s="19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95">
        <v>300423</v>
      </c>
      <c r="B312" s="190" t="s">
        <v>300</v>
      </c>
      <c r="C312" s="237" t="s">
        <v>296</v>
      </c>
      <c r="D312" s="238"/>
      <c r="E312" s="194" t="s">
        <v>297</v>
      </c>
      <c r="F312" s="13"/>
      <c r="G312" s="192"/>
      <c r="H312" s="192"/>
      <c r="I312" s="192"/>
      <c r="J312" s="192"/>
      <c r="K312" s="192">
        <f t="shared" si="38"/>
        <v>0</v>
      </c>
      <c r="L312" s="192">
        <f t="shared" si="39"/>
        <v>0</v>
      </c>
      <c r="M312" s="192">
        <v>524.1</v>
      </c>
      <c r="N312" s="192">
        <f t="shared" si="43"/>
        <v>3.3467432950191571</v>
      </c>
      <c r="O312" s="192"/>
      <c r="P312" s="192">
        <f t="shared" si="40"/>
        <v>0</v>
      </c>
      <c r="Q312" s="192"/>
      <c r="R312" s="19">
        <f t="shared" si="41"/>
        <v>0</v>
      </c>
      <c r="S312" s="192">
        <f t="shared" si="42"/>
        <v>0</v>
      </c>
      <c r="T312" s="20">
        <v>4</v>
      </c>
      <c r="U312" s="20"/>
      <c r="V312" s="198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95">
        <v>300424</v>
      </c>
      <c r="B313" s="190" t="s">
        <v>300</v>
      </c>
      <c r="C313" s="237" t="s">
        <v>296</v>
      </c>
      <c r="D313" s="238"/>
      <c r="E313" s="194" t="s">
        <v>298</v>
      </c>
      <c r="F313" s="13"/>
      <c r="G313" s="192"/>
      <c r="H313" s="192"/>
      <c r="I313" s="192"/>
      <c r="J313" s="192"/>
      <c r="K313" s="192">
        <f t="shared" si="38"/>
        <v>0</v>
      </c>
      <c r="L313" s="192">
        <f t="shared" si="39"/>
        <v>0</v>
      </c>
      <c r="M313" s="192">
        <v>524.1</v>
      </c>
      <c r="N313" s="192">
        <f t="shared" si="43"/>
        <v>3.3467432950191571</v>
      </c>
      <c r="O313" s="192"/>
      <c r="P313" s="192">
        <f t="shared" si="40"/>
        <v>0</v>
      </c>
      <c r="Q313" s="192"/>
      <c r="R313" s="19">
        <f t="shared" si="41"/>
        <v>0</v>
      </c>
      <c r="S313" s="192">
        <f t="shared" si="42"/>
        <v>0</v>
      </c>
      <c r="T313" s="20">
        <v>4</v>
      </c>
      <c r="U313" s="20"/>
      <c r="V313" s="198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95">
        <v>300425</v>
      </c>
      <c r="B314" s="190" t="s">
        <v>300</v>
      </c>
      <c r="C314" s="237" t="s">
        <v>296</v>
      </c>
      <c r="D314" s="238"/>
      <c r="E314" s="194" t="s">
        <v>299</v>
      </c>
      <c r="F314" s="13"/>
      <c r="G314" s="192"/>
      <c r="H314" s="192"/>
      <c r="I314" s="192"/>
      <c r="J314" s="192"/>
      <c r="K314" s="192">
        <f t="shared" si="38"/>
        <v>0</v>
      </c>
      <c r="L314" s="192">
        <f t="shared" si="39"/>
        <v>0</v>
      </c>
      <c r="M314" s="192">
        <v>524.1</v>
      </c>
      <c r="N314" s="192">
        <f t="shared" si="43"/>
        <v>3.3467432950191571</v>
      </c>
      <c r="O314" s="192"/>
      <c r="P314" s="192">
        <f t="shared" si="40"/>
        <v>0</v>
      </c>
      <c r="Q314" s="192"/>
      <c r="R314" s="19">
        <f t="shared" si="41"/>
        <v>0</v>
      </c>
      <c r="S314" s="192">
        <f t="shared" si="42"/>
        <v>0</v>
      </c>
      <c r="T314" s="20">
        <v>4</v>
      </c>
      <c r="U314" s="20"/>
      <c r="V314" s="198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95">
        <v>300390</v>
      </c>
      <c r="B315" s="190" t="s">
        <v>295</v>
      </c>
      <c r="C315" s="237" t="s">
        <v>114</v>
      </c>
      <c r="D315" s="238"/>
      <c r="E315" s="194" t="s">
        <v>115</v>
      </c>
      <c r="F315" s="196"/>
      <c r="G315" s="192"/>
      <c r="H315" s="192"/>
      <c r="I315" s="192"/>
      <c r="J315" s="192"/>
      <c r="K315" s="192">
        <f t="shared" si="38"/>
        <v>0</v>
      </c>
      <c r="L315" s="192">
        <f t="shared" si="39"/>
        <v>0</v>
      </c>
      <c r="M315" s="192">
        <v>417.4</v>
      </c>
      <c r="N315" s="192">
        <f>+M315*1000/(87*1*80*60)*T315</f>
        <v>3.9980842911877397</v>
      </c>
      <c r="O315" s="192"/>
      <c r="P315" s="192">
        <f t="shared" si="40"/>
        <v>0</v>
      </c>
      <c r="Q315" s="192"/>
      <c r="R315" s="19">
        <f t="shared" si="41"/>
        <v>0</v>
      </c>
      <c r="S315" s="192">
        <f t="shared" si="42"/>
        <v>0</v>
      </c>
      <c r="T315" s="20">
        <v>4</v>
      </c>
      <c r="U315" s="20"/>
      <c r="V315" s="19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95">
        <v>300391</v>
      </c>
      <c r="B316" s="190" t="s">
        <v>116</v>
      </c>
      <c r="C316" s="237" t="s">
        <v>114</v>
      </c>
      <c r="D316" s="238"/>
      <c r="E316" s="194" t="s">
        <v>117</v>
      </c>
      <c r="F316" s="196"/>
      <c r="G316" s="192"/>
      <c r="H316" s="192"/>
      <c r="I316" s="192"/>
      <c r="J316" s="192"/>
      <c r="K316" s="192">
        <f t="shared" si="38"/>
        <v>0</v>
      </c>
      <c r="L316" s="192">
        <f t="shared" si="39"/>
        <v>0</v>
      </c>
      <c r="M316" s="192">
        <v>417.4</v>
      </c>
      <c r="N316" s="192">
        <f>+M316*1000/(87*1*80*60)*T316</f>
        <v>3.9980842911877397</v>
      </c>
      <c r="O316" s="192"/>
      <c r="P316" s="192">
        <f t="shared" si="40"/>
        <v>0</v>
      </c>
      <c r="Q316" s="192"/>
      <c r="R316" s="19">
        <f t="shared" si="41"/>
        <v>0</v>
      </c>
      <c r="S316" s="192">
        <f t="shared" si="42"/>
        <v>0</v>
      </c>
      <c r="T316" s="20">
        <v>4</v>
      </c>
      <c r="U316" s="20"/>
      <c r="V316" s="19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90" t="s">
        <v>300</v>
      </c>
      <c r="C317" s="240" t="s">
        <v>305</v>
      </c>
      <c r="D317" s="241"/>
      <c r="E317" s="24" t="s">
        <v>306</v>
      </c>
      <c r="F317" s="25"/>
      <c r="G317" s="192"/>
      <c r="H317" s="192"/>
      <c r="I317" s="192"/>
      <c r="J317" s="192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90" t="s">
        <v>300</v>
      </c>
      <c r="C318" s="240" t="s">
        <v>305</v>
      </c>
      <c r="D318" s="241"/>
      <c r="E318" s="24" t="s">
        <v>307</v>
      </c>
      <c r="F318" s="25"/>
      <c r="G318" s="192"/>
      <c r="H318" s="192"/>
      <c r="I318" s="192"/>
      <c r="J318" s="192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90" t="s">
        <v>300</v>
      </c>
      <c r="C319" s="240" t="s">
        <v>305</v>
      </c>
      <c r="D319" s="241"/>
      <c r="E319" s="125" t="s">
        <v>308</v>
      </c>
      <c r="F319" s="25"/>
      <c r="G319" s="192"/>
      <c r="H319" s="192"/>
      <c r="I319" s="192"/>
      <c r="J319" s="192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95">
        <v>300074</v>
      </c>
      <c r="B320" s="190" t="s">
        <v>118</v>
      </c>
      <c r="C320" s="226" t="s">
        <v>119</v>
      </c>
      <c r="D320" s="226" t="s">
        <v>120</v>
      </c>
      <c r="E320" s="194" t="s">
        <v>54</v>
      </c>
      <c r="F320" s="196"/>
      <c r="G320" s="192"/>
      <c r="H320" s="192"/>
      <c r="I320" s="192"/>
      <c r="J320" s="192"/>
      <c r="K320" s="192">
        <f t="shared" si="38"/>
        <v>0</v>
      </c>
      <c r="L320" s="192">
        <f t="shared" si="39"/>
        <v>0</v>
      </c>
      <c r="M320" s="192">
        <v>290.8</v>
      </c>
      <c r="N320" s="192">
        <f>+M320*1000/(88*4*13*60)*T320</f>
        <v>3.1774475524475525</v>
      </c>
      <c r="O320" s="192"/>
      <c r="P320" s="192">
        <f t="shared" si="40"/>
        <v>0</v>
      </c>
      <c r="Q320" s="192"/>
      <c r="R320" s="19">
        <f t="shared" si="41"/>
        <v>0</v>
      </c>
      <c r="S320" s="192">
        <f t="shared" si="42"/>
        <v>0</v>
      </c>
      <c r="T320" s="20">
        <v>3</v>
      </c>
      <c r="U320" s="20"/>
      <c r="V320" s="19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95">
        <v>300076</v>
      </c>
      <c r="B321" s="190" t="s">
        <v>118</v>
      </c>
      <c r="C321" s="226" t="s">
        <v>119</v>
      </c>
      <c r="D321" s="226" t="s">
        <v>120</v>
      </c>
      <c r="E321" s="194" t="s">
        <v>35</v>
      </c>
      <c r="F321" s="196"/>
      <c r="G321" s="192"/>
      <c r="H321" s="192"/>
      <c r="I321" s="192"/>
      <c r="J321" s="192"/>
      <c r="K321" s="192">
        <f t="shared" si="38"/>
        <v>0</v>
      </c>
      <c r="L321" s="192">
        <f t="shared" si="39"/>
        <v>0</v>
      </c>
      <c r="M321" s="192">
        <v>303.10000000000002</v>
      </c>
      <c r="N321" s="192">
        <f>+M321*1000/(88*4*12*60)*T321</f>
        <v>4.7837752525252526</v>
      </c>
      <c r="O321" s="192"/>
      <c r="P321" s="192">
        <f t="shared" si="40"/>
        <v>0</v>
      </c>
      <c r="Q321" s="192"/>
      <c r="R321" s="19">
        <f t="shared" si="41"/>
        <v>0</v>
      </c>
      <c r="S321" s="192">
        <f t="shared" si="42"/>
        <v>0</v>
      </c>
      <c r="T321" s="20">
        <v>4</v>
      </c>
      <c r="U321" s="20"/>
      <c r="V321" s="19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95">
        <v>300096</v>
      </c>
      <c r="B322" s="203">
        <v>6502</v>
      </c>
      <c r="C322" s="239" t="s">
        <v>121</v>
      </c>
      <c r="D322" s="239" t="s">
        <v>122</v>
      </c>
      <c r="E322" s="42" t="s">
        <v>37</v>
      </c>
      <c r="F322" s="196"/>
      <c r="G322" s="192"/>
      <c r="H322" s="192"/>
      <c r="I322" s="192"/>
      <c r="J322" s="192"/>
      <c r="K322" s="192">
        <f t="shared" si="38"/>
        <v>0</v>
      </c>
      <c r="L322" s="192">
        <f t="shared" si="39"/>
        <v>0</v>
      </c>
      <c r="M322" s="192">
        <v>480.13</v>
      </c>
      <c r="N322" s="192">
        <f>+M322*1000/(126.5*4*12*60)*T322</f>
        <v>2.6357597716293371</v>
      </c>
      <c r="O322" s="192"/>
      <c r="P322" s="192">
        <f t="shared" si="40"/>
        <v>0</v>
      </c>
      <c r="Q322" s="192"/>
      <c r="R322" s="19">
        <f t="shared" si="41"/>
        <v>0</v>
      </c>
      <c r="S322" s="192">
        <f t="shared" si="42"/>
        <v>0</v>
      </c>
      <c r="T322" s="20">
        <v>2</v>
      </c>
      <c r="U322" s="20"/>
      <c r="V322" s="19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95"/>
      <c r="B323" s="203" t="s">
        <v>118</v>
      </c>
      <c r="C323" s="239" t="s">
        <v>121</v>
      </c>
      <c r="D323" s="239" t="s">
        <v>122</v>
      </c>
      <c r="E323" s="42" t="s">
        <v>35</v>
      </c>
      <c r="F323" s="196"/>
      <c r="G323" s="192"/>
      <c r="H323" s="192"/>
      <c r="I323" s="192"/>
      <c r="J323" s="192"/>
      <c r="K323" s="192">
        <f t="shared" si="38"/>
        <v>0</v>
      </c>
      <c r="L323" s="192">
        <f t="shared" si="39"/>
        <v>0</v>
      </c>
      <c r="M323" s="192">
        <v>480.13</v>
      </c>
      <c r="N323" s="192">
        <f>+M323*1000/(126.5*4*12*60)*T323</f>
        <v>2.6357597716293371</v>
      </c>
      <c r="O323" s="192"/>
      <c r="P323" s="192">
        <f t="shared" si="40"/>
        <v>0</v>
      </c>
      <c r="Q323" s="192"/>
      <c r="R323" s="19">
        <f t="shared" si="41"/>
        <v>0</v>
      </c>
      <c r="S323" s="192">
        <f t="shared" si="42"/>
        <v>0</v>
      </c>
      <c r="T323" s="20">
        <v>2</v>
      </c>
      <c r="U323" s="20"/>
      <c r="V323" s="19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95">
        <v>300097</v>
      </c>
      <c r="B324" s="203">
        <v>6502</v>
      </c>
      <c r="C324" s="239" t="s">
        <v>121</v>
      </c>
      <c r="D324" s="239" t="s">
        <v>122</v>
      </c>
      <c r="E324" s="42" t="s">
        <v>63</v>
      </c>
      <c r="F324" s="196"/>
      <c r="G324" s="192"/>
      <c r="H324" s="192"/>
      <c r="I324" s="192"/>
      <c r="J324" s="192"/>
      <c r="K324" s="192">
        <f t="shared" si="38"/>
        <v>0</v>
      </c>
      <c r="L324" s="192">
        <f t="shared" si="39"/>
        <v>0</v>
      </c>
      <c r="M324" s="192">
        <v>480.13</v>
      </c>
      <c r="N324" s="192">
        <f>+M324*1000/(126.5*4*12*60)*T324</f>
        <v>2.6357597716293371</v>
      </c>
      <c r="O324" s="192"/>
      <c r="P324" s="192">
        <f t="shared" si="40"/>
        <v>0</v>
      </c>
      <c r="Q324" s="192"/>
      <c r="R324" s="19">
        <f t="shared" si="41"/>
        <v>0</v>
      </c>
      <c r="S324" s="192">
        <f t="shared" si="42"/>
        <v>0</v>
      </c>
      <c r="T324" s="20">
        <v>2</v>
      </c>
      <c r="U324" s="20"/>
      <c r="V324" s="19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90">
        <v>300294</v>
      </c>
      <c r="B325" s="190" t="s">
        <v>118</v>
      </c>
      <c r="C325" s="226" t="s">
        <v>123</v>
      </c>
      <c r="D325" s="226"/>
      <c r="E325" s="194" t="s">
        <v>41</v>
      </c>
      <c r="F325" s="196"/>
      <c r="G325" s="192"/>
      <c r="H325" s="192"/>
      <c r="I325" s="192"/>
      <c r="J325" s="192"/>
      <c r="K325" s="192">
        <f t="shared" si="38"/>
        <v>0</v>
      </c>
      <c r="L325" s="192">
        <f t="shared" si="39"/>
        <v>0</v>
      </c>
      <c r="M325" s="192">
        <v>373.14</v>
      </c>
      <c r="N325" s="192">
        <f t="shared" ref="N325:N334" si="44">+M325*1000/(90*4*14*60)*T325</f>
        <v>3.7017857142857142</v>
      </c>
      <c r="O325" s="192"/>
      <c r="P325" s="192">
        <f t="shared" si="40"/>
        <v>0</v>
      </c>
      <c r="Q325" s="192"/>
      <c r="R325" s="19">
        <f t="shared" si="41"/>
        <v>0</v>
      </c>
      <c r="S325" s="192">
        <f t="shared" si="42"/>
        <v>0</v>
      </c>
      <c r="T325" s="20">
        <v>3</v>
      </c>
      <c r="U325" s="20"/>
      <c r="V325" s="19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90">
        <v>300295</v>
      </c>
      <c r="B326" s="190" t="s">
        <v>124</v>
      </c>
      <c r="C326" s="226" t="s">
        <v>125</v>
      </c>
      <c r="D326" s="226"/>
      <c r="E326" s="194" t="s">
        <v>126</v>
      </c>
      <c r="F326" s="196"/>
      <c r="G326" s="192"/>
      <c r="H326" s="192"/>
      <c r="I326" s="192"/>
      <c r="J326" s="192"/>
      <c r="K326" s="192">
        <f t="shared" si="38"/>
        <v>0</v>
      </c>
      <c r="L326" s="192">
        <f t="shared" si="39"/>
        <v>0</v>
      </c>
      <c r="M326" s="192">
        <v>373.14</v>
      </c>
      <c r="N326" s="192">
        <f t="shared" si="44"/>
        <v>3.7017857142857142</v>
      </c>
      <c r="O326" s="192"/>
      <c r="P326" s="192">
        <f t="shared" si="40"/>
        <v>0</v>
      </c>
      <c r="Q326" s="192"/>
      <c r="R326" s="19">
        <f t="shared" si="41"/>
        <v>0</v>
      </c>
      <c r="S326" s="192">
        <f t="shared" si="42"/>
        <v>0</v>
      </c>
      <c r="T326" s="20">
        <v>3</v>
      </c>
      <c r="U326" s="20"/>
      <c r="V326" s="19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90">
        <v>300258</v>
      </c>
      <c r="B327" s="190" t="s">
        <v>118</v>
      </c>
      <c r="C327" s="226" t="s">
        <v>123</v>
      </c>
      <c r="D327" s="226"/>
      <c r="E327" s="194" t="s">
        <v>42</v>
      </c>
      <c r="F327" s="196"/>
      <c r="G327" s="192"/>
      <c r="H327" s="192"/>
      <c r="I327" s="192"/>
      <c r="J327" s="192"/>
      <c r="K327" s="192">
        <f t="shared" si="38"/>
        <v>0</v>
      </c>
      <c r="L327" s="192">
        <f t="shared" si="39"/>
        <v>0</v>
      </c>
      <c r="M327" s="192">
        <v>373.14</v>
      </c>
      <c r="N327" s="192">
        <f t="shared" si="44"/>
        <v>3.7017857142857142</v>
      </c>
      <c r="O327" s="192"/>
      <c r="P327" s="192">
        <f t="shared" si="40"/>
        <v>0</v>
      </c>
      <c r="Q327" s="192"/>
      <c r="R327" s="19">
        <f t="shared" si="41"/>
        <v>0</v>
      </c>
      <c r="S327" s="192">
        <f t="shared" si="42"/>
        <v>0</v>
      </c>
      <c r="T327" s="20">
        <v>3</v>
      </c>
      <c r="U327" s="20"/>
      <c r="V327" s="19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90">
        <v>300256</v>
      </c>
      <c r="B328" s="190" t="s">
        <v>118</v>
      </c>
      <c r="C328" s="226" t="s">
        <v>123</v>
      </c>
      <c r="D328" s="226"/>
      <c r="E328" s="194" t="s">
        <v>74</v>
      </c>
      <c r="F328" s="196"/>
      <c r="G328" s="192"/>
      <c r="H328" s="192"/>
      <c r="I328" s="192"/>
      <c r="J328" s="192"/>
      <c r="K328" s="192">
        <f t="shared" si="38"/>
        <v>0</v>
      </c>
      <c r="L328" s="192">
        <f t="shared" si="39"/>
        <v>0</v>
      </c>
      <c r="M328" s="192">
        <v>373.14</v>
      </c>
      <c r="N328" s="192">
        <f t="shared" si="44"/>
        <v>3.7017857142857142</v>
      </c>
      <c r="O328" s="192"/>
      <c r="P328" s="192">
        <f t="shared" si="40"/>
        <v>0</v>
      </c>
      <c r="Q328" s="192"/>
      <c r="R328" s="19">
        <f t="shared" si="41"/>
        <v>0</v>
      </c>
      <c r="S328" s="192">
        <f t="shared" si="42"/>
        <v>0</v>
      </c>
      <c r="T328" s="20">
        <v>3</v>
      </c>
      <c r="U328" s="20"/>
      <c r="V328" s="19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90">
        <v>300259</v>
      </c>
      <c r="B329" s="190" t="s">
        <v>118</v>
      </c>
      <c r="C329" s="226" t="s">
        <v>123</v>
      </c>
      <c r="D329" s="226"/>
      <c r="E329" s="194" t="s">
        <v>40</v>
      </c>
      <c r="F329" s="196"/>
      <c r="G329" s="192"/>
      <c r="H329" s="192"/>
      <c r="I329" s="192"/>
      <c r="J329" s="192"/>
      <c r="K329" s="192">
        <f t="shared" si="38"/>
        <v>0</v>
      </c>
      <c r="L329" s="192">
        <f t="shared" si="39"/>
        <v>0</v>
      </c>
      <c r="M329" s="192">
        <v>373.14</v>
      </c>
      <c r="N329" s="192">
        <f t="shared" si="44"/>
        <v>3.7017857142857142</v>
      </c>
      <c r="O329" s="192"/>
      <c r="P329" s="192">
        <f t="shared" si="40"/>
        <v>0</v>
      </c>
      <c r="Q329" s="192"/>
      <c r="R329" s="19">
        <f t="shared" si="41"/>
        <v>0</v>
      </c>
      <c r="S329" s="192">
        <f t="shared" si="42"/>
        <v>0</v>
      </c>
      <c r="T329" s="20">
        <v>3</v>
      </c>
      <c r="U329" s="20"/>
      <c r="V329" s="19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90">
        <v>300345</v>
      </c>
      <c r="B330" s="190" t="s">
        <v>118</v>
      </c>
      <c r="C330" s="226" t="s">
        <v>127</v>
      </c>
      <c r="D330" s="226"/>
      <c r="E330" s="194" t="s">
        <v>74</v>
      </c>
      <c r="F330" s="196"/>
      <c r="G330" s="192"/>
      <c r="H330" s="192"/>
      <c r="I330" s="192"/>
      <c r="J330" s="192"/>
      <c r="K330" s="192">
        <f t="shared" si="38"/>
        <v>0</v>
      </c>
      <c r="L330" s="192">
        <f t="shared" si="39"/>
        <v>0</v>
      </c>
      <c r="M330" s="192">
        <v>373.14</v>
      </c>
      <c r="N330" s="192">
        <f t="shared" si="44"/>
        <v>3.7017857142857142</v>
      </c>
      <c r="O330" s="41"/>
      <c r="P330" s="192">
        <f t="shared" si="40"/>
        <v>0</v>
      </c>
      <c r="Q330" s="41"/>
      <c r="R330" s="19">
        <f t="shared" si="41"/>
        <v>0</v>
      </c>
      <c r="S330" s="192">
        <f t="shared" si="42"/>
        <v>0</v>
      </c>
      <c r="T330" s="20">
        <v>3</v>
      </c>
      <c r="U330" s="41"/>
      <c r="V330" s="198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90">
        <v>300346</v>
      </c>
      <c r="B331" s="190" t="s">
        <v>118</v>
      </c>
      <c r="C331" s="226" t="s">
        <v>127</v>
      </c>
      <c r="D331" s="226"/>
      <c r="E331" s="194" t="s">
        <v>42</v>
      </c>
      <c r="F331" s="196"/>
      <c r="G331" s="192"/>
      <c r="H331" s="192"/>
      <c r="I331" s="192"/>
      <c r="J331" s="192"/>
      <c r="K331" s="192">
        <f t="shared" si="38"/>
        <v>0</v>
      </c>
      <c r="L331" s="192">
        <f t="shared" si="39"/>
        <v>0</v>
      </c>
      <c r="M331" s="192">
        <v>373.14</v>
      </c>
      <c r="N331" s="192">
        <f t="shared" si="44"/>
        <v>3.7017857142857142</v>
      </c>
      <c r="O331" s="41"/>
      <c r="P331" s="192">
        <f t="shared" si="40"/>
        <v>0</v>
      </c>
      <c r="Q331" s="41"/>
      <c r="R331" s="19">
        <f t="shared" si="41"/>
        <v>0</v>
      </c>
      <c r="S331" s="192">
        <f t="shared" si="42"/>
        <v>0</v>
      </c>
      <c r="T331" s="20">
        <v>3</v>
      </c>
      <c r="U331" s="41"/>
      <c r="V331" s="198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90">
        <v>300347</v>
      </c>
      <c r="B332" s="190" t="s">
        <v>118</v>
      </c>
      <c r="C332" s="226" t="s">
        <v>127</v>
      </c>
      <c r="D332" s="226"/>
      <c r="E332" s="194" t="s">
        <v>41</v>
      </c>
      <c r="F332" s="196"/>
      <c r="G332" s="192"/>
      <c r="H332" s="192"/>
      <c r="I332" s="192"/>
      <c r="J332" s="192"/>
      <c r="K332" s="192">
        <f t="shared" si="38"/>
        <v>0</v>
      </c>
      <c r="L332" s="192">
        <f t="shared" si="39"/>
        <v>0</v>
      </c>
      <c r="M332" s="192">
        <v>373.14</v>
      </c>
      <c r="N332" s="192">
        <f t="shared" si="44"/>
        <v>3.7017857142857142</v>
      </c>
      <c r="O332" s="41"/>
      <c r="P332" s="192">
        <f t="shared" si="40"/>
        <v>0</v>
      </c>
      <c r="Q332" s="41"/>
      <c r="R332" s="19">
        <f t="shared" si="41"/>
        <v>0</v>
      </c>
      <c r="S332" s="192">
        <f t="shared" si="42"/>
        <v>0</v>
      </c>
      <c r="T332" s="20">
        <v>3</v>
      </c>
      <c r="U332" s="41"/>
      <c r="V332" s="198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90">
        <v>300348</v>
      </c>
      <c r="B333" s="190" t="s">
        <v>118</v>
      </c>
      <c r="C333" s="226" t="s">
        <v>127</v>
      </c>
      <c r="D333" s="226"/>
      <c r="E333" s="194" t="s">
        <v>126</v>
      </c>
      <c r="F333" s="196"/>
      <c r="G333" s="192"/>
      <c r="H333" s="192"/>
      <c r="I333" s="192"/>
      <c r="J333" s="192"/>
      <c r="K333" s="192">
        <f t="shared" si="38"/>
        <v>0</v>
      </c>
      <c r="L333" s="192">
        <f t="shared" si="39"/>
        <v>0</v>
      </c>
      <c r="M333" s="192">
        <v>373.14</v>
      </c>
      <c r="N333" s="192">
        <f t="shared" si="44"/>
        <v>3.7017857142857142</v>
      </c>
      <c r="O333" s="41"/>
      <c r="P333" s="192">
        <f t="shared" si="40"/>
        <v>0</v>
      </c>
      <c r="Q333" s="41"/>
      <c r="R333" s="19">
        <f t="shared" si="41"/>
        <v>0</v>
      </c>
      <c r="S333" s="192">
        <f t="shared" si="42"/>
        <v>0</v>
      </c>
      <c r="T333" s="20">
        <v>3</v>
      </c>
      <c r="U333" s="41"/>
      <c r="V333" s="198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90">
        <v>300349</v>
      </c>
      <c r="B334" s="190" t="s">
        <v>118</v>
      </c>
      <c r="C334" s="226" t="s">
        <v>127</v>
      </c>
      <c r="D334" s="226"/>
      <c r="E334" s="194" t="s">
        <v>40</v>
      </c>
      <c r="F334" s="196"/>
      <c r="G334" s="192"/>
      <c r="H334" s="192"/>
      <c r="I334" s="192"/>
      <c r="J334" s="192"/>
      <c r="K334" s="192">
        <f t="shared" si="38"/>
        <v>0</v>
      </c>
      <c r="L334" s="192">
        <f t="shared" si="39"/>
        <v>0</v>
      </c>
      <c r="M334" s="192">
        <v>373.14</v>
      </c>
      <c r="N334" s="192">
        <f t="shared" si="44"/>
        <v>3.7017857142857142</v>
      </c>
      <c r="O334" s="41"/>
      <c r="P334" s="192">
        <f t="shared" si="40"/>
        <v>0</v>
      </c>
      <c r="Q334" s="41"/>
      <c r="R334" s="19">
        <f t="shared" si="41"/>
        <v>0</v>
      </c>
      <c r="S334" s="192">
        <f t="shared" si="42"/>
        <v>0</v>
      </c>
      <c r="T334" s="20">
        <v>3</v>
      </c>
      <c r="U334" s="41"/>
      <c r="V334" s="198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90">
        <v>300298</v>
      </c>
      <c r="B335" s="190" t="s">
        <v>118</v>
      </c>
      <c r="C335" s="226" t="s">
        <v>128</v>
      </c>
      <c r="D335" s="226"/>
      <c r="E335" s="194" t="s">
        <v>54</v>
      </c>
      <c r="F335" s="196"/>
      <c r="G335" s="192"/>
      <c r="H335" s="192"/>
      <c r="I335" s="192"/>
      <c r="J335" s="192"/>
      <c r="K335" s="192">
        <f t="shared" si="38"/>
        <v>0</v>
      </c>
      <c r="L335" s="192">
        <f t="shared" si="39"/>
        <v>0</v>
      </c>
      <c r="M335" s="192">
        <v>380.63</v>
      </c>
      <c r="N335" s="192">
        <f t="shared" ref="N335:N340" si="45">+M335*1000/(94.7*4*15*60)*T335</f>
        <v>4.4659157573624313</v>
      </c>
      <c r="O335" s="192"/>
      <c r="P335" s="192">
        <f t="shared" si="40"/>
        <v>0</v>
      </c>
      <c r="Q335" s="192"/>
      <c r="R335" s="19">
        <f t="shared" si="41"/>
        <v>0</v>
      </c>
      <c r="S335" s="192">
        <f t="shared" si="42"/>
        <v>0</v>
      </c>
      <c r="T335" s="20">
        <v>4</v>
      </c>
      <c r="U335" s="20"/>
      <c r="V335" s="19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90">
        <v>300299</v>
      </c>
      <c r="B336" s="190" t="s">
        <v>118</v>
      </c>
      <c r="C336" s="226" t="s">
        <v>128</v>
      </c>
      <c r="D336" s="226"/>
      <c r="E336" s="194" t="s">
        <v>39</v>
      </c>
      <c r="F336" s="196"/>
      <c r="G336" s="192"/>
      <c r="H336" s="192"/>
      <c r="I336" s="192"/>
      <c r="J336" s="192"/>
      <c r="K336" s="192">
        <f t="shared" si="38"/>
        <v>0</v>
      </c>
      <c r="L336" s="192">
        <f t="shared" si="39"/>
        <v>0</v>
      </c>
      <c r="M336" s="192">
        <v>380.63</v>
      </c>
      <c r="N336" s="192">
        <f t="shared" si="45"/>
        <v>4.4659157573624313</v>
      </c>
      <c r="O336" s="192"/>
      <c r="P336" s="192">
        <f t="shared" si="40"/>
        <v>0</v>
      </c>
      <c r="Q336" s="192"/>
      <c r="R336" s="19">
        <f t="shared" si="41"/>
        <v>0</v>
      </c>
      <c r="S336" s="192">
        <f t="shared" si="42"/>
        <v>0</v>
      </c>
      <c r="T336" s="20">
        <v>4</v>
      </c>
      <c r="U336" s="20"/>
      <c r="V336" s="19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90">
        <v>300296</v>
      </c>
      <c r="B337" s="190" t="s">
        <v>118</v>
      </c>
      <c r="C337" s="226" t="s">
        <v>128</v>
      </c>
      <c r="D337" s="226"/>
      <c r="E337" s="194" t="s">
        <v>41</v>
      </c>
      <c r="F337" s="196"/>
      <c r="G337" s="192"/>
      <c r="H337" s="192"/>
      <c r="I337" s="192"/>
      <c r="J337" s="192"/>
      <c r="K337" s="192">
        <f t="shared" si="38"/>
        <v>0</v>
      </c>
      <c r="L337" s="192">
        <f t="shared" si="39"/>
        <v>0</v>
      </c>
      <c r="M337" s="192">
        <v>380.63</v>
      </c>
      <c r="N337" s="192">
        <f t="shared" si="45"/>
        <v>4.4659157573624313</v>
      </c>
      <c r="O337" s="192"/>
      <c r="P337" s="192">
        <f t="shared" si="40"/>
        <v>0</v>
      </c>
      <c r="Q337" s="192"/>
      <c r="R337" s="19">
        <f t="shared" si="41"/>
        <v>0</v>
      </c>
      <c r="S337" s="192">
        <f t="shared" si="42"/>
        <v>0</v>
      </c>
      <c r="T337" s="20">
        <v>4</v>
      </c>
      <c r="U337" s="20"/>
      <c r="V337" s="19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90">
        <v>300297</v>
      </c>
      <c r="B338" s="190" t="s">
        <v>118</v>
      </c>
      <c r="C338" s="226" t="s">
        <v>128</v>
      </c>
      <c r="D338" s="226"/>
      <c r="E338" s="194" t="s">
        <v>37</v>
      </c>
      <c r="F338" s="196"/>
      <c r="G338" s="192"/>
      <c r="H338" s="192"/>
      <c r="I338" s="192"/>
      <c r="J338" s="192"/>
      <c r="K338" s="192">
        <f t="shared" si="38"/>
        <v>0</v>
      </c>
      <c r="L338" s="192">
        <f t="shared" si="39"/>
        <v>0</v>
      </c>
      <c r="M338" s="192">
        <v>380.63</v>
      </c>
      <c r="N338" s="192">
        <f t="shared" si="45"/>
        <v>4.4659157573624313</v>
      </c>
      <c r="O338" s="192"/>
      <c r="P338" s="192">
        <f t="shared" si="40"/>
        <v>0</v>
      </c>
      <c r="Q338" s="192"/>
      <c r="R338" s="19">
        <f t="shared" si="41"/>
        <v>0</v>
      </c>
      <c r="S338" s="192">
        <f t="shared" si="42"/>
        <v>0</v>
      </c>
      <c r="T338" s="20">
        <v>4</v>
      </c>
      <c r="U338" s="20"/>
      <c r="V338" s="19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90">
        <v>300340</v>
      </c>
      <c r="B339" s="190" t="s">
        <v>118</v>
      </c>
      <c r="C339" s="237" t="s">
        <v>129</v>
      </c>
      <c r="D339" s="238"/>
      <c r="E339" s="194" t="s">
        <v>41</v>
      </c>
      <c r="F339" s="196"/>
      <c r="G339" s="192"/>
      <c r="H339" s="192"/>
      <c r="I339" s="192"/>
      <c r="J339" s="192"/>
      <c r="K339" s="192">
        <f t="shared" si="38"/>
        <v>0</v>
      </c>
      <c r="L339" s="192">
        <f t="shared" si="39"/>
        <v>0</v>
      </c>
      <c r="M339" s="192">
        <v>325.60000000000002</v>
      </c>
      <c r="N339" s="192">
        <f t="shared" si="45"/>
        <v>3.8202510852986036</v>
      </c>
      <c r="O339" s="192"/>
      <c r="P339" s="192">
        <f t="shared" si="40"/>
        <v>0</v>
      </c>
      <c r="Q339" s="192"/>
      <c r="R339" s="19">
        <f t="shared" si="41"/>
        <v>0</v>
      </c>
      <c r="S339" s="192">
        <f t="shared" si="42"/>
        <v>0</v>
      </c>
      <c r="T339" s="20">
        <v>4</v>
      </c>
      <c r="U339" s="20"/>
      <c r="V339" s="198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90">
        <v>300339</v>
      </c>
      <c r="B340" s="190" t="s">
        <v>118</v>
      </c>
      <c r="C340" s="237" t="s">
        <v>129</v>
      </c>
      <c r="D340" s="238"/>
      <c r="E340" s="194" t="s">
        <v>39</v>
      </c>
      <c r="F340" s="196"/>
      <c r="G340" s="192"/>
      <c r="H340" s="192"/>
      <c r="I340" s="192"/>
      <c r="J340" s="192"/>
      <c r="K340" s="192">
        <f t="shared" si="38"/>
        <v>0</v>
      </c>
      <c r="L340" s="192">
        <f t="shared" si="39"/>
        <v>0</v>
      </c>
      <c r="M340" s="192">
        <v>325.60000000000002</v>
      </c>
      <c r="N340" s="192">
        <f t="shared" si="45"/>
        <v>3.8202510852986036</v>
      </c>
      <c r="O340" s="192"/>
      <c r="P340" s="192">
        <f t="shared" si="40"/>
        <v>0</v>
      </c>
      <c r="Q340" s="192"/>
      <c r="R340" s="19">
        <f t="shared" si="41"/>
        <v>0</v>
      </c>
      <c r="S340" s="192">
        <f t="shared" si="42"/>
        <v>0</v>
      </c>
      <c r="T340" s="20">
        <v>4</v>
      </c>
      <c r="U340" s="20"/>
      <c r="V340" s="198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90">
        <v>300303</v>
      </c>
      <c r="B341" s="190" t="s">
        <v>118</v>
      </c>
      <c r="C341" s="226" t="s">
        <v>130</v>
      </c>
      <c r="D341" s="226" t="s">
        <v>131</v>
      </c>
      <c r="E341" s="194" t="s">
        <v>57</v>
      </c>
      <c r="F341" s="196"/>
      <c r="G341" s="192"/>
      <c r="H341" s="192"/>
      <c r="I341" s="192"/>
      <c r="J341" s="192"/>
      <c r="K341" s="192">
        <f t="shared" si="38"/>
        <v>0</v>
      </c>
      <c r="L341" s="192">
        <f t="shared" si="39"/>
        <v>0</v>
      </c>
      <c r="M341" s="192">
        <v>396.92</v>
      </c>
      <c r="N341" s="192">
        <f>+M341*1000/(113.8*4*15*60)*T341</f>
        <v>4.8442686975200155</v>
      </c>
      <c r="O341" s="192"/>
      <c r="P341" s="192">
        <f t="shared" si="40"/>
        <v>0</v>
      </c>
      <c r="Q341" s="192"/>
      <c r="R341" s="19">
        <f t="shared" si="41"/>
        <v>0</v>
      </c>
      <c r="S341" s="192">
        <f t="shared" si="42"/>
        <v>0</v>
      </c>
      <c r="T341" s="20">
        <v>5</v>
      </c>
      <c r="U341" s="20"/>
      <c r="V341" s="19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90">
        <v>300302</v>
      </c>
      <c r="B342" s="190" t="s">
        <v>118</v>
      </c>
      <c r="C342" s="226" t="s">
        <v>130</v>
      </c>
      <c r="D342" s="226" t="s">
        <v>131</v>
      </c>
      <c r="E342" s="194" t="s">
        <v>117</v>
      </c>
      <c r="F342" s="196"/>
      <c r="G342" s="192"/>
      <c r="H342" s="192"/>
      <c r="I342" s="192"/>
      <c r="J342" s="192"/>
      <c r="K342" s="192">
        <f t="shared" si="38"/>
        <v>0</v>
      </c>
      <c r="L342" s="192">
        <f t="shared" si="39"/>
        <v>0</v>
      </c>
      <c r="M342" s="192">
        <v>396.06</v>
      </c>
      <c r="N342" s="192">
        <f>+M342*1000/(113.8*4*15*60)*T342</f>
        <v>4.8337727006444053</v>
      </c>
      <c r="O342" s="192"/>
      <c r="P342" s="192">
        <f t="shared" si="40"/>
        <v>0</v>
      </c>
      <c r="Q342" s="192"/>
      <c r="R342" s="19">
        <f t="shared" si="41"/>
        <v>0</v>
      </c>
      <c r="S342" s="192">
        <f t="shared" si="42"/>
        <v>0</v>
      </c>
      <c r="T342" s="20">
        <v>5</v>
      </c>
      <c r="U342" s="20"/>
      <c r="V342" s="19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90">
        <v>300301</v>
      </c>
      <c r="B343" s="190" t="s">
        <v>118</v>
      </c>
      <c r="C343" s="226" t="s">
        <v>130</v>
      </c>
      <c r="D343" s="226" t="s">
        <v>131</v>
      </c>
      <c r="E343" s="194" t="s">
        <v>132</v>
      </c>
      <c r="F343" s="196"/>
      <c r="G343" s="192"/>
      <c r="H343" s="192"/>
      <c r="I343" s="192"/>
      <c r="J343" s="192"/>
      <c r="K343" s="192">
        <f t="shared" si="38"/>
        <v>0</v>
      </c>
      <c r="L343" s="192">
        <f t="shared" si="39"/>
        <v>0</v>
      </c>
      <c r="M343" s="192">
        <v>401.25</v>
      </c>
      <c r="N343" s="192">
        <f>+M343*1000/(113.8*4*15*60)*T343</f>
        <v>4.8971148213239601</v>
      </c>
      <c r="O343" s="192"/>
      <c r="P343" s="192">
        <f t="shared" si="40"/>
        <v>0</v>
      </c>
      <c r="Q343" s="192"/>
      <c r="R343" s="19">
        <f t="shared" si="41"/>
        <v>0</v>
      </c>
      <c r="S343" s="192">
        <f t="shared" si="42"/>
        <v>0</v>
      </c>
      <c r="T343" s="20">
        <v>5</v>
      </c>
      <c r="U343" s="20"/>
      <c r="V343" s="19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95">
        <v>300304</v>
      </c>
      <c r="B344" s="190" t="s">
        <v>118</v>
      </c>
      <c r="C344" s="226" t="s">
        <v>130</v>
      </c>
      <c r="D344" s="226"/>
      <c r="E344" s="194" t="s">
        <v>133</v>
      </c>
      <c r="F344" s="196"/>
      <c r="G344" s="192"/>
      <c r="H344" s="192"/>
      <c r="I344" s="192"/>
      <c r="J344" s="192"/>
      <c r="K344" s="192">
        <f t="shared" si="38"/>
        <v>0</v>
      </c>
      <c r="L344" s="192">
        <f t="shared" si="39"/>
        <v>0</v>
      </c>
      <c r="M344" s="192">
        <v>401.25</v>
      </c>
      <c r="N344" s="192">
        <f>+M344*1000/(113.8*4*15*60)*T344</f>
        <v>4.8971148213239601</v>
      </c>
      <c r="O344" s="192"/>
      <c r="P344" s="192">
        <f t="shared" si="40"/>
        <v>0</v>
      </c>
      <c r="Q344" s="192"/>
      <c r="R344" s="19">
        <f t="shared" si="41"/>
        <v>0</v>
      </c>
      <c r="S344" s="192">
        <f t="shared" si="42"/>
        <v>0</v>
      </c>
      <c r="T344" s="20">
        <v>5</v>
      </c>
      <c r="U344" s="20"/>
      <c r="V344" s="19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95">
        <v>300300</v>
      </c>
      <c r="B345" s="190" t="s">
        <v>118</v>
      </c>
      <c r="C345" s="226" t="s">
        <v>130</v>
      </c>
      <c r="D345" s="226" t="s">
        <v>131</v>
      </c>
      <c r="E345" s="194" t="s">
        <v>54</v>
      </c>
      <c r="F345" s="196"/>
      <c r="G345" s="192"/>
      <c r="H345" s="192"/>
      <c r="I345" s="192"/>
      <c r="J345" s="192"/>
      <c r="K345" s="192">
        <f t="shared" si="38"/>
        <v>0</v>
      </c>
      <c r="L345" s="192">
        <f t="shared" si="39"/>
        <v>0</v>
      </c>
      <c r="M345" s="192">
        <v>399.07</v>
      </c>
      <c r="N345" s="192">
        <f>+M345*1000/(113.8*4*15*60)*T345</f>
        <v>4.8705086897090411</v>
      </c>
      <c r="O345" s="192"/>
      <c r="P345" s="192">
        <f t="shared" si="40"/>
        <v>0</v>
      </c>
      <c r="Q345" s="192"/>
      <c r="R345" s="19">
        <f t="shared" si="41"/>
        <v>0</v>
      </c>
      <c r="S345" s="192">
        <f t="shared" si="42"/>
        <v>0</v>
      </c>
      <c r="T345" s="20">
        <v>5</v>
      </c>
      <c r="U345" s="20"/>
      <c r="V345" s="19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95">
        <v>300085</v>
      </c>
      <c r="B346" s="190" t="s">
        <v>118</v>
      </c>
      <c r="C346" s="226" t="s">
        <v>134</v>
      </c>
      <c r="D346" s="226" t="s">
        <v>131</v>
      </c>
      <c r="E346" s="194" t="s">
        <v>135</v>
      </c>
      <c r="F346" s="196"/>
      <c r="G346" s="192"/>
      <c r="H346" s="192"/>
      <c r="I346" s="192"/>
      <c r="J346" s="192"/>
      <c r="K346" s="192">
        <f t="shared" si="38"/>
        <v>0</v>
      </c>
      <c r="L346" s="192">
        <f t="shared" si="39"/>
        <v>0</v>
      </c>
      <c r="M346" s="192">
        <v>394.3</v>
      </c>
      <c r="N346" s="192">
        <f>+M346*1000/(104.2*4*15*60)*T346</f>
        <v>6.3067818298144598</v>
      </c>
      <c r="O346" s="192"/>
      <c r="P346" s="192">
        <f t="shared" si="40"/>
        <v>0</v>
      </c>
      <c r="Q346" s="192"/>
      <c r="R346" s="19">
        <f t="shared" si="41"/>
        <v>0</v>
      </c>
      <c r="S346" s="192">
        <f t="shared" si="42"/>
        <v>0</v>
      </c>
      <c r="T346" s="20">
        <v>6</v>
      </c>
      <c r="U346" s="20"/>
      <c r="V346" s="19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95">
        <v>300087</v>
      </c>
      <c r="B347" s="190" t="s">
        <v>118</v>
      </c>
      <c r="C347" s="226" t="s">
        <v>134</v>
      </c>
      <c r="D347" s="226" t="s">
        <v>131</v>
      </c>
      <c r="E347" s="194" t="s">
        <v>80</v>
      </c>
      <c r="F347" s="196"/>
      <c r="G347" s="192"/>
      <c r="H347" s="192"/>
      <c r="I347" s="192"/>
      <c r="J347" s="192"/>
      <c r="K347" s="192">
        <f t="shared" si="38"/>
        <v>0</v>
      </c>
      <c r="L347" s="192">
        <f t="shared" si="39"/>
        <v>0</v>
      </c>
      <c r="M347" s="192">
        <v>380.1</v>
      </c>
      <c r="N347" s="192">
        <f>+M347*1000/(104.2*4*16*60)*T347</f>
        <v>4.7497300863723604</v>
      </c>
      <c r="O347" s="192"/>
      <c r="P347" s="192">
        <f t="shared" si="40"/>
        <v>0</v>
      </c>
      <c r="Q347" s="192"/>
      <c r="R347" s="19">
        <f t="shared" si="41"/>
        <v>0</v>
      </c>
      <c r="S347" s="192">
        <f t="shared" si="42"/>
        <v>0</v>
      </c>
      <c r="T347" s="20">
        <v>5</v>
      </c>
      <c r="U347" s="20"/>
      <c r="V347" s="19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95">
        <v>300387</v>
      </c>
      <c r="B348" s="190" t="s">
        <v>136</v>
      </c>
      <c r="C348" s="237" t="s">
        <v>137</v>
      </c>
      <c r="D348" s="238"/>
      <c r="E348" s="194" t="s">
        <v>57</v>
      </c>
      <c r="F348" s="196"/>
      <c r="G348" s="192"/>
      <c r="H348" s="192"/>
      <c r="I348" s="192"/>
      <c r="J348" s="192"/>
      <c r="K348" s="192">
        <f t="shared" si="38"/>
        <v>0</v>
      </c>
      <c r="L348" s="192">
        <f t="shared" si="39"/>
        <v>0</v>
      </c>
      <c r="M348" s="192">
        <v>352.29</v>
      </c>
      <c r="N348" s="192">
        <f>+M348*1000/(104.2*4*16*60)*T348</f>
        <v>4.4022162907869484</v>
      </c>
      <c r="O348" s="192"/>
      <c r="P348" s="192">
        <f t="shared" si="40"/>
        <v>0</v>
      </c>
      <c r="Q348" s="192"/>
      <c r="R348" s="19">
        <f t="shared" si="41"/>
        <v>0</v>
      </c>
      <c r="S348" s="192">
        <f t="shared" si="42"/>
        <v>0</v>
      </c>
      <c r="T348" s="20">
        <v>5</v>
      </c>
      <c r="U348" s="20"/>
      <c r="V348" s="19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95">
        <v>300388</v>
      </c>
      <c r="B349" s="190" t="s">
        <v>138</v>
      </c>
      <c r="C349" s="237" t="s">
        <v>137</v>
      </c>
      <c r="D349" s="238"/>
      <c r="E349" s="194" t="s">
        <v>117</v>
      </c>
      <c r="F349" s="196"/>
      <c r="G349" s="192"/>
      <c r="H349" s="192"/>
      <c r="I349" s="192"/>
      <c r="J349" s="192"/>
      <c r="K349" s="192">
        <f t="shared" si="38"/>
        <v>0</v>
      </c>
      <c r="L349" s="192">
        <f t="shared" si="39"/>
        <v>0</v>
      </c>
      <c r="M349" s="192">
        <v>352.29</v>
      </c>
      <c r="N349" s="192">
        <f>+M349*1000/(104.2*4*16*60)*T349</f>
        <v>4.4022162907869484</v>
      </c>
      <c r="O349" s="192"/>
      <c r="P349" s="192">
        <f t="shared" si="40"/>
        <v>0</v>
      </c>
      <c r="Q349" s="192"/>
      <c r="R349" s="19">
        <f t="shared" si="41"/>
        <v>0</v>
      </c>
      <c r="S349" s="192">
        <f t="shared" si="42"/>
        <v>0</v>
      </c>
      <c r="T349" s="20">
        <v>5</v>
      </c>
      <c r="U349" s="20"/>
      <c r="V349" s="19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95">
        <v>300123</v>
      </c>
      <c r="B350" s="190" t="s">
        <v>118</v>
      </c>
      <c r="C350" s="226" t="s">
        <v>139</v>
      </c>
      <c r="D350" s="226" t="s">
        <v>140</v>
      </c>
      <c r="E350" s="194" t="s">
        <v>135</v>
      </c>
      <c r="F350" s="196"/>
      <c r="G350" s="192"/>
      <c r="H350" s="192"/>
      <c r="I350" s="192"/>
      <c r="J350" s="192"/>
      <c r="K350" s="192">
        <f t="shared" si="38"/>
        <v>0</v>
      </c>
      <c r="L350" s="192">
        <f t="shared" si="39"/>
        <v>0</v>
      </c>
      <c r="M350" s="192">
        <v>557</v>
      </c>
      <c r="N350" s="192">
        <f>+M350*1000/(126.5*4*15*60)*T350</f>
        <v>6.1155028546332888</v>
      </c>
      <c r="O350" s="192"/>
      <c r="P350" s="192">
        <f t="shared" si="40"/>
        <v>0</v>
      </c>
      <c r="Q350" s="192"/>
      <c r="R350" s="19">
        <f t="shared" si="41"/>
        <v>0</v>
      </c>
      <c r="S350" s="192">
        <f t="shared" si="42"/>
        <v>0</v>
      </c>
      <c r="T350" s="20">
        <v>5</v>
      </c>
      <c r="U350" s="20"/>
      <c r="V350" s="19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95">
        <v>300270</v>
      </c>
      <c r="B351" s="190" t="s">
        <v>118</v>
      </c>
      <c r="C351" s="226" t="s">
        <v>141</v>
      </c>
      <c r="D351" s="226"/>
      <c r="E351" s="194" t="s">
        <v>142</v>
      </c>
      <c r="F351" s="196"/>
      <c r="G351" s="192"/>
      <c r="H351" s="192"/>
      <c r="I351" s="192"/>
      <c r="J351" s="192"/>
      <c r="K351" s="192">
        <f t="shared" si="38"/>
        <v>0</v>
      </c>
      <c r="L351" s="192">
        <f t="shared" si="39"/>
        <v>0</v>
      </c>
      <c r="M351" s="192">
        <v>485.7</v>
      </c>
      <c r="N351" s="192">
        <f>+M351*1000/(126.5*4*15*60)*T351</f>
        <v>4.2661396574440049</v>
      </c>
      <c r="O351" s="192"/>
      <c r="P351" s="192">
        <f t="shared" si="40"/>
        <v>0</v>
      </c>
      <c r="Q351" s="192"/>
      <c r="R351" s="19">
        <f t="shared" si="41"/>
        <v>0</v>
      </c>
      <c r="S351" s="192">
        <f t="shared" si="42"/>
        <v>0</v>
      </c>
      <c r="T351" s="20">
        <v>4</v>
      </c>
      <c r="U351" s="20"/>
      <c r="V351" s="19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95">
        <v>300336</v>
      </c>
      <c r="B352" s="190" t="s">
        <v>118</v>
      </c>
      <c r="C352" s="226" t="s">
        <v>143</v>
      </c>
      <c r="D352" s="226"/>
      <c r="E352" s="194" t="s">
        <v>84</v>
      </c>
      <c r="F352" s="196"/>
      <c r="G352" s="192"/>
      <c r="H352" s="192"/>
      <c r="I352" s="192"/>
      <c r="J352" s="192"/>
      <c r="K352" s="192">
        <f t="shared" si="38"/>
        <v>0</v>
      </c>
      <c r="L352" s="192">
        <f t="shared" si="39"/>
        <v>0</v>
      </c>
      <c r="M352" s="192">
        <v>411.4</v>
      </c>
      <c r="N352" s="192">
        <f>+M352*1000/(104.2*4*16*60)*T352</f>
        <v>2.0563419705694179</v>
      </c>
      <c r="O352" s="192"/>
      <c r="P352" s="192">
        <f t="shared" si="40"/>
        <v>0</v>
      </c>
      <c r="Q352" s="192"/>
      <c r="R352" s="19">
        <f t="shared" si="41"/>
        <v>0</v>
      </c>
      <c r="S352" s="192">
        <f t="shared" si="42"/>
        <v>0</v>
      </c>
      <c r="T352" s="20">
        <v>2</v>
      </c>
      <c r="U352" s="20"/>
      <c r="V352" s="19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95">
        <v>300337</v>
      </c>
      <c r="B353" s="190" t="s">
        <v>118</v>
      </c>
      <c r="C353" s="226" t="s">
        <v>143</v>
      </c>
      <c r="D353" s="226"/>
      <c r="E353" s="194" t="s">
        <v>49</v>
      </c>
      <c r="F353" s="196"/>
      <c r="G353" s="192"/>
      <c r="H353" s="192"/>
      <c r="I353" s="192"/>
      <c r="J353" s="192"/>
      <c r="K353" s="192">
        <f t="shared" si="38"/>
        <v>0</v>
      </c>
      <c r="L353" s="192">
        <f t="shared" si="39"/>
        <v>0</v>
      </c>
      <c r="M353" s="192">
        <v>411.4</v>
      </c>
      <c r="N353" s="192">
        <f>+M353*1000/(104.2*4*16*60)*T353</f>
        <v>2.0563419705694179</v>
      </c>
      <c r="O353" s="192"/>
      <c r="P353" s="192">
        <f t="shared" si="40"/>
        <v>0</v>
      </c>
      <c r="Q353" s="192"/>
      <c r="R353" s="19">
        <f t="shared" si="41"/>
        <v>0</v>
      </c>
      <c r="S353" s="192">
        <f t="shared" si="42"/>
        <v>0</v>
      </c>
      <c r="T353" s="20">
        <v>2</v>
      </c>
      <c r="U353" s="20"/>
      <c r="V353" s="198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95">
        <v>300338</v>
      </c>
      <c r="B354" s="190" t="s">
        <v>118</v>
      </c>
      <c r="C354" s="226" t="s">
        <v>143</v>
      </c>
      <c r="D354" s="226"/>
      <c r="E354" s="194" t="s">
        <v>85</v>
      </c>
      <c r="F354" s="196"/>
      <c r="G354" s="192"/>
      <c r="H354" s="192"/>
      <c r="I354" s="192"/>
      <c r="J354" s="192"/>
      <c r="K354" s="192">
        <f t="shared" si="38"/>
        <v>0</v>
      </c>
      <c r="L354" s="192">
        <f t="shared" si="39"/>
        <v>0</v>
      </c>
      <c r="M354" s="192">
        <v>411.4</v>
      </c>
      <c r="N354" s="192">
        <f>+M354*1000/(104.2*4*16*60)*T354</f>
        <v>2.0563419705694179</v>
      </c>
      <c r="O354" s="192"/>
      <c r="P354" s="192">
        <f t="shared" si="40"/>
        <v>0</v>
      </c>
      <c r="Q354" s="192"/>
      <c r="R354" s="19">
        <f t="shared" si="41"/>
        <v>0</v>
      </c>
      <c r="S354" s="192">
        <f t="shared" si="42"/>
        <v>0</v>
      </c>
      <c r="T354" s="20">
        <v>2</v>
      </c>
      <c r="U354" s="20"/>
      <c r="V354" s="198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95">
        <v>300309</v>
      </c>
      <c r="B355" s="190">
        <v>6504</v>
      </c>
      <c r="C355" s="226" t="s">
        <v>145</v>
      </c>
      <c r="D355" s="226"/>
      <c r="E355" s="194" t="s">
        <v>47</v>
      </c>
      <c r="F355" s="196"/>
      <c r="G355" s="192"/>
      <c r="H355" s="192"/>
      <c r="I355" s="192"/>
      <c r="J355" s="192"/>
      <c r="K355" s="192">
        <f t="shared" si="38"/>
        <v>0</v>
      </c>
      <c r="L355" s="192">
        <f t="shared" si="39"/>
        <v>0</v>
      </c>
      <c r="M355" s="192">
        <v>316.88</v>
      </c>
      <c r="N355" s="192">
        <f>+M355*1000/(75.2*4*16*60)*T355</f>
        <v>6.5841090425531918</v>
      </c>
      <c r="O355" s="192"/>
      <c r="P355" s="192">
        <f t="shared" si="40"/>
        <v>0</v>
      </c>
      <c r="Q355" s="192"/>
      <c r="R355" s="19">
        <f t="shared" si="41"/>
        <v>0</v>
      </c>
      <c r="S355" s="192">
        <f t="shared" si="42"/>
        <v>0</v>
      </c>
      <c r="T355" s="20">
        <v>6</v>
      </c>
      <c r="U355" s="20"/>
      <c r="V355" s="19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95">
        <v>300310</v>
      </c>
      <c r="B356" s="190">
        <v>6504</v>
      </c>
      <c r="C356" s="226" t="s">
        <v>145</v>
      </c>
      <c r="D356" s="226"/>
      <c r="E356" s="194" t="s">
        <v>146</v>
      </c>
      <c r="F356" s="196"/>
      <c r="G356" s="192"/>
      <c r="H356" s="192"/>
      <c r="I356" s="192"/>
      <c r="J356" s="192"/>
      <c r="K356" s="192">
        <f t="shared" si="38"/>
        <v>0</v>
      </c>
      <c r="L356" s="192">
        <f t="shared" si="39"/>
        <v>0</v>
      </c>
      <c r="M356" s="192">
        <v>316.88</v>
      </c>
      <c r="N356" s="192">
        <f>+M356*1000/(75.2*4*16*60)*T356</f>
        <v>6.5841090425531918</v>
      </c>
      <c r="O356" s="192"/>
      <c r="P356" s="192">
        <f t="shared" si="40"/>
        <v>0</v>
      </c>
      <c r="Q356" s="192"/>
      <c r="R356" s="19">
        <f t="shared" si="41"/>
        <v>0</v>
      </c>
      <c r="S356" s="192">
        <f t="shared" si="42"/>
        <v>0</v>
      </c>
      <c r="T356" s="20">
        <v>6</v>
      </c>
      <c r="U356" s="20"/>
      <c r="V356" s="19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95">
        <v>300312</v>
      </c>
      <c r="B357" s="190">
        <v>6504</v>
      </c>
      <c r="C357" s="226" t="s">
        <v>145</v>
      </c>
      <c r="D357" s="226"/>
      <c r="E357" s="194" t="s">
        <v>147</v>
      </c>
      <c r="F357" s="196"/>
      <c r="G357" s="192"/>
      <c r="H357" s="192"/>
      <c r="I357" s="192"/>
      <c r="J357" s="192"/>
      <c r="K357" s="192">
        <f t="shared" si="38"/>
        <v>0</v>
      </c>
      <c r="L357" s="192">
        <f t="shared" si="39"/>
        <v>0</v>
      </c>
      <c r="M357" s="192">
        <v>316.88</v>
      </c>
      <c r="N357" s="192">
        <f>+M357*1000/(75.2*4*16*60)*T357</f>
        <v>6.5841090425531918</v>
      </c>
      <c r="O357" s="192"/>
      <c r="P357" s="192">
        <f t="shared" si="40"/>
        <v>0</v>
      </c>
      <c r="Q357" s="192"/>
      <c r="R357" s="19">
        <f t="shared" si="41"/>
        <v>0</v>
      </c>
      <c r="S357" s="192">
        <f t="shared" si="42"/>
        <v>0</v>
      </c>
      <c r="T357" s="20">
        <v>6</v>
      </c>
      <c r="U357" s="20"/>
      <c r="V357" s="19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95">
        <v>300311</v>
      </c>
      <c r="B358" s="190">
        <v>6504</v>
      </c>
      <c r="C358" s="226" t="s">
        <v>145</v>
      </c>
      <c r="D358" s="226"/>
      <c r="E358" s="194" t="s">
        <v>74</v>
      </c>
      <c r="F358" s="196"/>
      <c r="G358" s="192"/>
      <c r="H358" s="192"/>
      <c r="I358" s="192"/>
      <c r="J358" s="192"/>
      <c r="K358" s="192">
        <f t="shared" si="38"/>
        <v>0</v>
      </c>
      <c r="L358" s="192">
        <f t="shared" si="39"/>
        <v>0</v>
      </c>
      <c r="M358" s="192">
        <v>316.88</v>
      </c>
      <c r="N358" s="192">
        <f>+M358*1000/(75.2*4*16*60)*T358</f>
        <v>6.5841090425531918</v>
      </c>
      <c r="O358" s="192"/>
      <c r="P358" s="192">
        <f t="shared" si="40"/>
        <v>0</v>
      </c>
      <c r="Q358" s="192"/>
      <c r="R358" s="19">
        <f t="shared" si="41"/>
        <v>0</v>
      </c>
      <c r="S358" s="192">
        <f t="shared" si="42"/>
        <v>0</v>
      </c>
      <c r="T358" s="20">
        <v>6</v>
      </c>
      <c r="U358" s="20"/>
      <c r="V358" s="19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95">
        <v>300399</v>
      </c>
      <c r="B359" s="190">
        <v>18501</v>
      </c>
      <c r="C359" s="237" t="s">
        <v>148</v>
      </c>
      <c r="D359" s="238"/>
      <c r="E359" s="194" t="s">
        <v>41</v>
      </c>
      <c r="F359" s="196"/>
      <c r="G359" s="192"/>
      <c r="H359" s="192"/>
      <c r="I359" s="192"/>
      <c r="J359" s="192"/>
      <c r="K359" s="192">
        <f t="shared" si="38"/>
        <v>0</v>
      </c>
      <c r="L359" s="192">
        <f t="shared" si="39"/>
        <v>0</v>
      </c>
      <c r="M359" s="192">
        <v>311.2</v>
      </c>
      <c r="N359" s="192">
        <f>+M359*1000/(100*4*16*60)*T359</f>
        <v>4.8624999999999998</v>
      </c>
      <c r="O359" s="192"/>
      <c r="P359" s="192">
        <f t="shared" si="40"/>
        <v>0</v>
      </c>
      <c r="Q359" s="192"/>
      <c r="R359" s="19">
        <f t="shared" si="41"/>
        <v>0</v>
      </c>
      <c r="S359" s="192">
        <f t="shared" si="42"/>
        <v>0</v>
      </c>
      <c r="T359" s="20">
        <v>6</v>
      </c>
      <c r="U359" s="20"/>
      <c r="V359" s="198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95">
        <v>300400</v>
      </c>
      <c r="B360" s="190">
        <v>18501</v>
      </c>
      <c r="C360" s="237" t="s">
        <v>148</v>
      </c>
      <c r="D360" s="238"/>
      <c r="E360" s="194" t="s">
        <v>66</v>
      </c>
      <c r="F360" s="196"/>
      <c r="G360" s="192"/>
      <c r="H360" s="192"/>
      <c r="I360" s="192"/>
      <c r="J360" s="192"/>
      <c r="K360" s="192">
        <f t="shared" si="38"/>
        <v>0</v>
      </c>
      <c r="L360" s="192">
        <f t="shared" si="39"/>
        <v>0</v>
      </c>
      <c r="M360" s="192">
        <v>311.2</v>
      </c>
      <c r="N360" s="192">
        <f>+M360*1000/(100*4*16*60)*T360</f>
        <v>4.8624999999999998</v>
      </c>
      <c r="O360" s="192"/>
      <c r="P360" s="192">
        <f t="shared" si="40"/>
        <v>0</v>
      </c>
      <c r="Q360" s="192"/>
      <c r="R360" s="19">
        <f t="shared" si="41"/>
        <v>0</v>
      </c>
      <c r="S360" s="192">
        <f t="shared" si="42"/>
        <v>0</v>
      </c>
      <c r="T360" s="20">
        <v>6</v>
      </c>
      <c r="U360" s="20"/>
      <c r="V360" s="198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95">
        <v>300401</v>
      </c>
      <c r="B361" s="190">
        <v>18501</v>
      </c>
      <c r="C361" s="237" t="s">
        <v>148</v>
      </c>
      <c r="D361" s="238"/>
      <c r="E361" s="194" t="s">
        <v>149</v>
      </c>
      <c r="F361" s="196"/>
      <c r="G361" s="192"/>
      <c r="H361" s="192"/>
      <c r="I361" s="192"/>
      <c r="J361" s="192"/>
      <c r="K361" s="192">
        <f t="shared" si="38"/>
        <v>0</v>
      </c>
      <c r="L361" s="192">
        <f t="shared" si="39"/>
        <v>0</v>
      </c>
      <c r="M361" s="192">
        <v>311.2</v>
      </c>
      <c r="N361" s="192">
        <f>+M361*1000/(100*4*16*60)*T361</f>
        <v>4.8624999999999998</v>
      </c>
      <c r="O361" s="192"/>
      <c r="P361" s="192">
        <f t="shared" si="40"/>
        <v>0</v>
      </c>
      <c r="Q361" s="192"/>
      <c r="R361" s="19">
        <f t="shared" si="41"/>
        <v>0</v>
      </c>
      <c r="S361" s="192">
        <f t="shared" si="42"/>
        <v>0</v>
      </c>
      <c r="T361" s="20">
        <v>6</v>
      </c>
      <c r="U361" s="20"/>
      <c r="V361" s="198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95">
        <v>300402</v>
      </c>
      <c r="B362" s="190">
        <v>18501</v>
      </c>
      <c r="C362" s="237" t="s">
        <v>150</v>
      </c>
      <c r="D362" s="238"/>
      <c r="E362" s="194" t="s">
        <v>151</v>
      </c>
      <c r="F362" s="196"/>
      <c r="G362" s="192"/>
      <c r="H362" s="192"/>
      <c r="I362" s="192"/>
      <c r="J362" s="192"/>
      <c r="K362" s="192">
        <f t="shared" si="38"/>
        <v>0</v>
      </c>
      <c r="L362" s="192">
        <f t="shared" si="39"/>
        <v>0</v>
      </c>
      <c r="M362" s="192">
        <v>465.3</v>
      </c>
      <c r="N362" s="192">
        <f>+M362*1000/(137*4*16*60)*T362</f>
        <v>5.3067974452554747</v>
      </c>
      <c r="O362" s="192"/>
      <c r="P362" s="192">
        <f t="shared" si="40"/>
        <v>0</v>
      </c>
      <c r="Q362" s="192"/>
      <c r="R362" s="19">
        <f t="shared" si="41"/>
        <v>0</v>
      </c>
      <c r="S362" s="192">
        <f t="shared" si="42"/>
        <v>0</v>
      </c>
      <c r="T362" s="20">
        <v>6</v>
      </c>
      <c r="U362" s="20"/>
      <c r="V362" s="198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95">
        <v>300403</v>
      </c>
      <c r="B363" s="190">
        <v>18501</v>
      </c>
      <c r="C363" s="237" t="s">
        <v>150</v>
      </c>
      <c r="D363" s="238"/>
      <c r="E363" s="194" t="s">
        <v>152</v>
      </c>
      <c r="F363" s="196"/>
      <c r="G363" s="192"/>
      <c r="H363" s="192"/>
      <c r="I363" s="192"/>
      <c r="J363" s="192"/>
      <c r="K363" s="192">
        <f t="shared" ref="K363:K399" si="46">G363*M363</f>
        <v>0</v>
      </c>
      <c r="L363" s="192">
        <f t="shared" ref="L363:L399" si="47">I363*M363</f>
        <v>0</v>
      </c>
      <c r="M363" s="192">
        <v>465.3</v>
      </c>
      <c r="N363" s="192">
        <f>+M363*1000/(137*4*16*60)*T363</f>
        <v>5.3067974452554747</v>
      </c>
      <c r="O363" s="192"/>
      <c r="P363" s="192">
        <f t="shared" ref="P363:P399" si="48">N363*I363+O363*U363</f>
        <v>0</v>
      </c>
      <c r="Q363" s="192"/>
      <c r="R363" s="19">
        <f t="shared" ref="R363:R399" si="49">Q363*U363</f>
        <v>0</v>
      </c>
      <c r="S363" s="192">
        <f t="shared" ref="S363:S399" si="50">R363-P363</f>
        <v>0</v>
      </c>
      <c r="T363" s="20">
        <v>6</v>
      </c>
      <c r="U363" s="20"/>
      <c r="V363" s="198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95">
        <v>300404</v>
      </c>
      <c r="B364" s="190">
        <v>18501</v>
      </c>
      <c r="C364" s="237" t="s">
        <v>150</v>
      </c>
      <c r="D364" s="238"/>
      <c r="E364" s="194" t="s">
        <v>70</v>
      </c>
      <c r="F364" s="196"/>
      <c r="G364" s="192"/>
      <c r="H364" s="192"/>
      <c r="I364" s="192"/>
      <c r="J364" s="192"/>
      <c r="K364" s="192">
        <f t="shared" si="46"/>
        <v>0</v>
      </c>
      <c r="L364" s="192">
        <f t="shared" si="47"/>
        <v>0</v>
      </c>
      <c r="M364" s="192">
        <v>465.3</v>
      </c>
      <c r="N364" s="192">
        <f>+M364*1000/(137*4*16*60)*T364</f>
        <v>5.3067974452554747</v>
      </c>
      <c r="O364" s="192"/>
      <c r="P364" s="192">
        <f t="shared" si="48"/>
        <v>0</v>
      </c>
      <c r="Q364" s="192"/>
      <c r="R364" s="19">
        <f t="shared" si="49"/>
        <v>0</v>
      </c>
      <c r="S364" s="192">
        <f t="shared" si="50"/>
        <v>0</v>
      </c>
      <c r="T364" s="20">
        <v>6</v>
      </c>
      <c r="U364" s="20"/>
      <c r="V364" s="198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95">
        <v>300405</v>
      </c>
      <c r="B365" s="190">
        <v>18501</v>
      </c>
      <c r="C365" s="237" t="s">
        <v>150</v>
      </c>
      <c r="D365" s="238"/>
      <c r="E365" s="194" t="s">
        <v>35</v>
      </c>
      <c r="F365" s="196"/>
      <c r="G365" s="192"/>
      <c r="H365" s="192"/>
      <c r="I365" s="192"/>
      <c r="J365" s="192"/>
      <c r="K365" s="192">
        <f t="shared" si="46"/>
        <v>0</v>
      </c>
      <c r="L365" s="192">
        <f t="shared" si="47"/>
        <v>0</v>
      </c>
      <c r="M365" s="192">
        <v>465.3</v>
      </c>
      <c r="N365" s="192">
        <f>+M365*1000/(137*4*16*60)*T365</f>
        <v>5.3067974452554747</v>
      </c>
      <c r="O365" s="192"/>
      <c r="P365" s="192">
        <f t="shared" si="48"/>
        <v>0</v>
      </c>
      <c r="Q365" s="192"/>
      <c r="R365" s="19">
        <f t="shared" si="49"/>
        <v>0</v>
      </c>
      <c r="S365" s="192">
        <f t="shared" si="50"/>
        <v>0</v>
      </c>
      <c r="T365" s="20">
        <v>6</v>
      </c>
      <c r="U365" s="20"/>
      <c r="V365" s="198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95">
        <v>300372</v>
      </c>
      <c r="B366" s="190">
        <v>18501</v>
      </c>
      <c r="C366" s="237" t="s">
        <v>153</v>
      </c>
      <c r="D366" s="238"/>
      <c r="E366" s="194" t="s">
        <v>47</v>
      </c>
      <c r="F366" s="196"/>
      <c r="G366" s="192"/>
      <c r="H366" s="192"/>
      <c r="I366" s="192"/>
      <c r="J366" s="192"/>
      <c r="K366" s="192">
        <f t="shared" si="46"/>
        <v>0</v>
      </c>
      <c r="L366" s="192">
        <f t="shared" si="47"/>
        <v>0</v>
      </c>
      <c r="M366" s="192">
        <v>420.58</v>
      </c>
      <c r="N366" s="192">
        <f>+M366*1000/(140*4*16*60)*T366</f>
        <v>4.6939732142857142</v>
      </c>
      <c r="O366" s="192"/>
      <c r="P366" s="192">
        <f t="shared" si="48"/>
        <v>0</v>
      </c>
      <c r="Q366" s="192"/>
      <c r="R366" s="19">
        <f t="shared" si="49"/>
        <v>0</v>
      </c>
      <c r="S366" s="192">
        <f t="shared" si="50"/>
        <v>0</v>
      </c>
      <c r="T366" s="20">
        <v>6</v>
      </c>
      <c r="U366" s="20"/>
      <c r="V366" s="198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95">
        <v>300373</v>
      </c>
      <c r="B367" s="190">
        <v>18501</v>
      </c>
      <c r="C367" s="237" t="s">
        <v>153</v>
      </c>
      <c r="D367" s="238"/>
      <c r="E367" s="194" t="s">
        <v>146</v>
      </c>
      <c r="F367" s="196"/>
      <c r="G367" s="192"/>
      <c r="H367" s="192"/>
      <c r="I367" s="192"/>
      <c r="J367" s="192"/>
      <c r="K367" s="192">
        <f t="shared" si="46"/>
        <v>0</v>
      </c>
      <c r="L367" s="192">
        <f t="shared" si="47"/>
        <v>0</v>
      </c>
      <c r="M367" s="192">
        <v>420.58</v>
      </c>
      <c r="N367" s="192">
        <f>+M367*1000/(140*4*16*60)*T367</f>
        <v>4.6939732142857142</v>
      </c>
      <c r="O367" s="192"/>
      <c r="P367" s="192">
        <f t="shared" si="48"/>
        <v>0</v>
      </c>
      <c r="Q367" s="192"/>
      <c r="R367" s="19">
        <f t="shared" si="49"/>
        <v>0</v>
      </c>
      <c r="S367" s="192">
        <f t="shared" si="50"/>
        <v>0</v>
      </c>
      <c r="T367" s="20">
        <v>6</v>
      </c>
      <c r="U367" s="20"/>
      <c r="V367" s="198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95">
        <v>300374</v>
      </c>
      <c r="B368" s="190">
        <v>18501</v>
      </c>
      <c r="C368" s="237" t="s">
        <v>153</v>
      </c>
      <c r="D368" s="238"/>
      <c r="E368" s="194" t="s">
        <v>147</v>
      </c>
      <c r="F368" s="196"/>
      <c r="G368" s="192"/>
      <c r="H368" s="192"/>
      <c r="I368" s="192"/>
      <c r="J368" s="192"/>
      <c r="K368" s="192">
        <f t="shared" si="46"/>
        <v>0</v>
      </c>
      <c r="L368" s="192">
        <f t="shared" si="47"/>
        <v>0</v>
      </c>
      <c r="M368" s="192">
        <v>420.58</v>
      </c>
      <c r="N368" s="192">
        <f>+M368*1000/(140*4*16*60)*T368</f>
        <v>4.6939732142857142</v>
      </c>
      <c r="O368" s="192"/>
      <c r="P368" s="192">
        <f t="shared" si="48"/>
        <v>0</v>
      </c>
      <c r="Q368" s="192"/>
      <c r="R368" s="19">
        <f t="shared" si="49"/>
        <v>0</v>
      </c>
      <c r="S368" s="192">
        <f t="shared" si="50"/>
        <v>0</v>
      </c>
      <c r="T368" s="20">
        <v>6</v>
      </c>
      <c r="U368" s="20"/>
      <c r="V368" s="198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95">
        <v>300375</v>
      </c>
      <c r="B369" s="190">
        <v>18501</v>
      </c>
      <c r="C369" s="237" t="s">
        <v>153</v>
      </c>
      <c r="D369" s="238"/>
      <c r="E369" s="194" t="s">
        <v>74</v>
      </c>
      <c r="F369" s="196"/>
      <c r="G369" s="192"/>
      <c r="H369" s="192"/>
      <c r="I369" s="192"/>
      <c r="J369" s="192"/>
      <c r="K369" s="192">
        <f t="shared" si="46"/>
        <v>0</v>
      </c>
      <c r="L369" s="192">
        <f t="shared" si="47"/>
        <v>0</v>
      </c>
      <c r="M369" s="192">
        <v>420.58</v>
      </c>
      <c r="N369" s="192">
        <f>+M369*1000/(140*4*16*60)*T369</f>
        <v>4.6939732142857142</v>
      </c>
      <c r="O369" s="192"/>
      <c r="P369" s="192">
        <f t="shared" si="48"/>
        <v>0</v>
      </c>
      <c r="Q369" s="192"/>
      <c r="R369" s="19">
        <f t="shared" si="49"/>
        <v>0</v>
      </c>
      <c r="S369" s="192">
        <f t="shared" si="50"/>
        <v>0</v>
      </c>
      <c r="T369" s="20">
        <v>6</v>
      </c>
      <c r="U369" s="20"/>
      <c r="V369" s="198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95">
        <v>300341</v>
      </c>
      <c r="B370" s="190">
        <v>18501</v>
      </c>
      <c r="C370" s="244" t="s">
        <v>154</v>
      </c>
      <c r="D370" s="245"/>
      <c r="E370" s="194" t="s">
        <v>39</v>
      </c>
      <c r="F370" s="196"/>
      <c r="G370" s="192"/>
      <c r="H370" s="192"/>
      <c r="I370" s="192"/>
      <c r="J370" s="192"/>
      <c r="K370" s="192">
        <f t="shared" si="46"/>
        <v>0</v>
      </c>
      <c r="L370" s="192">
        <f t="shared" si="47"/>
        <v>0</v>
      </c>
      <c r="M370" s="192">
        <v>439.3</v>
      </c>
      <c r="N370" s="192">
        <f>+M370*1000/(169.7*4*13*60)*T370</f>
        <v>4.1485351223123761</v>
      </c>
      <c r="O370" s="192"/>
      <c r="P370" s="192">
        <f t="shared" si="48"/>
        <v>0</v>
      </c>
      <c r="Q370" s="192"/>
      <c r="R370" s="19">
        <f t="shared" si="49"/>
        <v>0</v>
      </c>
      <c r="S370" s="192">
        <f t="shared" si="50"/>
        <v>0</v>
      </c>
      <c r="T370" s="20">
        <v>5</v>
      </c>
      <c r="U370" s="20"/>
      <c r="V370" s="198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95">
        <v>300342</v>
      </c>
      <c r="B371" s="190">
        <v>18501</v>
      </c>
      <c r="C371" s="244" t="s">
        <v>154</v>
      </c>
      <c r="D371" s="245"/>
      <c r="E371" s="194" t="s">
        <v>80</v>
      </c>
      <c r="F371" s="196"/>
      <c r="G371" s="192"/>
      <c r="H371" s="192"/>
      <c r="I371" s="192"/>
      <c r="J371" s="192"/>
      <c r="K371" s="192">
        <f t="shared" si="46"/>
        <v>0</v>
      </c>
      <c r="L371" s="192">
        <f t="shared" si="47"/>
        <v>0</v>
      </c>
      <c r="M371" s="192">
        <v>439.3</v>
      </c>
      <c r="N371" s="192">
        <f t="shared" ref="N371:N376" si="51">+M371*1000/(169.7*4*13*60)*T371</f>
        <v>4.1485351223123761</v>
      </c>
      <c r="O371" s="192"/>
      <c r="P371" s="192">
        <f t="shared" si="48"/>
        <v>0</v>
      </c>
      <c r="Q371" s="192"/>
      <c r="R371" s="19">
        <f t="shared" si="49"/>
        <v>0</v>
      </c>
      <c r="S371" s="192">
        <f t="shared" si="50"/>
        <v>0</v>
      </c>
      <c r="T371" s="20">
        <v>5</v>
      </c>
      <c r="U371" s="20"/>
      <c r="V371" s="198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95">
        <v>300343</v>
      </c>
      <c r="B372" s="190">
        <v>18501</v>
      </c>
      <c r="C372" s="244" t="s">
        <v>154</v>
      </c>
      <c r="D372" s="245"/>
      <c r="E372" s="194" t="s">
        <v>35</v>
      </c>
      <c r="F372" s="196"/>
      <c r="G372" s="192"/>
      <c r="H372" s="192"/>
      <c r="I372" s="192"/>
      <c r="J372" s="192"/>
      <c r="K372" s="192">
        <f t="shared" si="46"/>
        <v>0</v>
      </c>
      <c r="L372" s="192">
        <f t="shared" si="47"/>
        <v>0</v>
      </c>
      <c r="M372" s="192">
        <v>455.4</v>
      </c>
      <c r="N372" s="192">
        <f t="shared" si="51"/>
        <v>4.3005756765332483</v>
      </c>
      <c r="O372" s="192"/>
      <c r="P372" s="192">
        <f t="shared" si="48"/>
        <v>0</v>
      </c>
      <c r="Q372" s="192"/>
      <c r="R372" s="19">
        <f t="shared" si="49"/>
        <v>0</v>
      </c>
      <c r="S372" s="192">
        <f t="shared" si="50"/>
        <v>0</v>
      </c>
      <c r="T372" s="20">
        <v>5</v>
      </c>
      <c r="U372" s="20"/>
      <c r="V372" s="198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95">
        <v>300344</v>
      </c>
      <c r="B373" s="190">
        <v>18501</v>
      </c>
      <c r="C373" s="244" t="s">
        <v>154</v>
      </c>
      <c r="D373" s="245"/>
      <c r="E373" s="194" t="s">
        <v>40</v>
      </c>
      <c r="F373" s="196"/>
      <c r="G373" s="192"/>
      <c r="H373" s="192"/>
      <c r="I373" s="192"/>
      <c r="J373" s="192"/>
      <c r="K373" s="192">
        <f t="shared" si="46"/>
        <v>0</v>
      </c>
      <c r="L373" s="192">
        <f t="shared" si="47"/>
        <v>0</v>
      </c>
      <c r="M373" s="192">
        <v>455.4</v>
      </c>
      <c r="N373" s="192">
        <f t="shared" si="51"/>
        <v>4.3005756765332483</v>
      </c>
      <c r="O373" s="192"/>
      <c r="P373" s="192">
        <f t="shared" si="48"/>
        <v>0</v>
      </c>
      <c r="Q373" s="192"/>
      <c r="R373" s="19">
        <f t="shared" si="49"/>
        <v>0</v>
      </c>
      <c r="S373" s="192">
        <f t="shared" si="50"/>
        <v>0</v>
      </c>
      <c r="T373" s="20">
        <v>5</v>
      </c>
      <c r="U373" s="20"/>
      <c r="V373" s="198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95">
        <v>300396</v>
      </c>
      <c r="B374" s="190">
        <v>18501</v>
      </c>
      <c r="C374" s="244" t="s">
        <v>155</v>
      </c>
      <c r="D374" s="245"/>
      <c r="E374" s="194" t="s">
        <v>41</v>
      </c>
      <c r="F374" s="196"/>
      <c r="G374" s="192"/>
      <c r="H374" s="192"/>
      <c r="I374" s="192"/>
      <c r="J374" s="192"/>
      <c r="K374" s="192">
        <f t="shared" si="46"/>
        <v>0</v>
      </c>
      <c r="L374" s="192">
        <f t="shared" si="47"/>
        <v>0</v>
      </c>
      <c r="M374" s="192">
        <v>417.1</v>
      </c>
      <c r="N374" s="192">
        <f t="shared" si="51"/>
        <v>3.9388891407158937</v>
      </c>
      <c r="O374" s="192"/>
      <c r="P374" s="192">
        <f t="shared" si="48"/>
        <v>0</v>
      </c>
      <c r="Q374" s="192"/>
      <c r="R374" s="19">
        <f t="shared" si="49"/>
        <v>0</v>
      </c>
      <c r="S374" s="192">
        <f t="shared" si="50"/>
        <v>0</v>
      </c>
      <c r="T374" s="20">
        <v>5</v>
      </c>
      <c r="U374" s="20"/>
      <c r="V374" s="198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95">
        <v>300397</v>
      </c>
      <c r="B375" s="190">
        <v>18501</v>
      </c>
      <c r="C375" s="244" t="s">
        <v>155</v>
      </c>
      <c r="D375" s="245"/>
      <c r="E375" s="194" t="s">
        <v>66</v>
      </c>
      <c r="F375" s="196"/>
      <c r="G375" s="192"/>
      <c r="H375" s="192"/>
      <c r="I375" s="192"/>
      <c r="J375" s="192"/>
      <c r="K375" s="192">
        <f t="shared" si="46"/>
        <v>0</v>
      </c>
      <c r="L375" s="192">
        <f t="shared" si="47"/>
        <v>0</v>
      </c>
      <c r="M375" s="192">
        <v>417.1</v>
      </c>
      <c r="N375" s="192">
        <f t="shared" si="51"/>
        <v>3.9388891407158937</v>
      </c>
      <c r="O375" s="192"/>
      <c r="P375" s="192">
        <f t="shared" si="48"/>
        <v>0</v>
      </c>
      <c r="Q375" s="192"/>
      <c r="R375" s="19">
        <f t="shared" si="49"/>
        <v>0</v>
      </c>
      <c r="S375" s="192">
        <f t="shared" si="50"/>
        <v>0</v>
      </c>
      <c r="T375" s="20">
        <v>5</v>
      </c>
      <c r="U375" s="20"/>
      <c r="V375" s="198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95">
        <v>300398</v>
      </c>
      <c r="B376" s="190">
        <v>18501</v>
      </c>
      <c r="C376" s="244" t="s">
        <v>155</v>
      </c>
      <c r="D376" s="245"/>
      <c r="E376" s="194" t="s">
        <v>149</v>
      </c>
      <c r="F376" s="196"/>
      <c r="G376" s="192"/>
      <c r="H376" s="192"/>
      <c r="I376" s="192"/>
      <c r="J376" s="192"/>
      <c r="K376" s="192">
        <f t="shared" si="46"/>
        <v>0</v>
      </c>
      <c r="L376" s="192">
        <f t="shared" si="47"/>
        <v>0</v>
      </c>
      <c r="M376" s="192">
        <v>417.1</v>
      </c>
      <c r="N376" s="192">
        <f t="shared" si="51"/>
        <v>3.9388891407158937</v>
      </c>
      <c r="O376" s="192"/>
      <c r="P376" s="192">
        <f t="shared" si="48"/>
        <v>0</v>
      </c>
      <c r="Q376" s="192"/>
      <c r="R376" s="19">
        <f t="shared" si="49"/>
        <v>0</v>
      </c>
      <c r="S376" s="192">
        <f t="shared" si="50"/>
        <v>0</v>
      </c>
      <c r="T376" s="20">
        <v>5</v>
      </c>
      <c r="U376" s="20"/>
      <c r="V376" s="198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95">
        <v>300271</v>
      </c>
      <c r="B377" s="190">
        <v>18501</v>
      </c>
      <c r="C377" s="226" t="s">
        <v>156</v>
      </c>
      <c r="D377" s="226"/>
      <c r="E377" s="194" t="s">
        <v>142</v>
      </c>
      <c r="F377" s="196"/>
      <c r="G377" s="192"/>
      <c r="H377" s="192"/>
      <c r="I377" s="192"/>
      <c r="J377" s="192"/>
      <c r="K377" s="192">
        <f t="shared" si="46"/>
        <v>0</v>
      </c>
      <c r="L377" s="192">
        <f t="shared" si="47"/>
        <v>0</v>
      </c>
      <c r="M377" s="192">
        <v>580.1</v>
      </c>
      <c r="N377" s="192">
        <f>+M377*1000/(188*4*13*60)*T377</f>
        <v>4.9449331696672125</v>
      </c>
      <c r="O377" s="192"/>
      <c r="P377" s="192">
        <f t="shared" si="48"/>
        <v>0</v>
      </c>
      <c r="Q377" s="192"/>
      <c r="R377" s="19">
        <f t="shared" si="49"/>
        <v>0</v>
      </c>
      <c r="S377" s="192">
        <f t="shared" si="50"/>
        <v>0</v>
      </c>
      <c r="T377" s="20">
        <v>5</v>
      </c>
      <c r="U377" s="20"/>
      <c r="V377" s="19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95">
        <v>300009</v>
      </c>
      <c r="B378" s="190">
        <v>18501</v>
      </c>
      <c r="C378" s="226" t="s">
        <v>157</v>
      </c>
      <c r="D378" s="226" t="s">
        <v>158</v>
      </c>
      <c r="E378" s="194" t="s">
        <v>135</v>
      </c>
      <c r="F378" s="196"/>
      <c r="G378" s="192"/>
      <c r="H378" s="192"/>
      <c r="I378" s="192"/>
      <c r="J378" s="192"/>
      <c r="K378" s="192">
        <f t="shared" si="46"/>
        <v>0</v>
      </c>
      <c r="L378" s="192">
        <f t="shared" si="47"/>
        <v>0</v>
      </c>
      <c r="M378" s="15">
        <v>520.79999999999995</v>
      </c>
      <c r="N378" s="192">
        <f>+M378*1000/(188*4*13*60)*T378</f>
        <v>4.4394435351882153</v>
      </c>
      <c r="O378" s="192"/>
      <c r="P378" s="192">
        <f t="shared" si="48"/>
        <v>0</v>
      </c>
      <c r="Q378" s="192"/>
      <c r="R378" s="19">
        <f t="shared" si="49"/>
        <v>0</v>
      </c>
      <c r="S378" s="192">
        <f t="shared" si="50"/>
        <v>0</v>
      </c>
      <c r="T378" s="20">
        <v>5</v>
      </c>
      <c r="U378" s="20"/>
      <c r="V378" s="19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95">
        <v>300010</v>
      </c>
      <c r="B379" s="190">
        <v>18501</v>
      </c>
      <c r="C379" s="226" t="s">
        <v>157</v>
      </c>
      <c r="D379" s="226" t="s">
        <v>158</v>
      </c>
      <c r="E379" s="194" t="s">
        <v>80</v>
      </c>
      <c r="F379" s="196"/>
      <c r="G379" s="192"/>
      <c r="H379" s="192"/>
      <c r="I379" s="192"/>
      <c r="J379" s="192"/>
      <c r="K379" s="192">
        <f t="shared" si="46"/>
        <v>0</v>
      </c>
      <c r="L379" s="192">
        <f t="shared" si="47"/>
        <v>0</v>
      </c>
      <c r="M379" s="15">
        <v>530.9</v>
      </c>
      <c r="N379" s="192">
        <f>+M379*1000/(188*4*13*60)*T379</f>
        <v>4.5255387343153304</v>
      </c>
      <c r="O379" s="192"/>
      <c r="P379" s="192">
        <f t="shared" si="48"/>
        <v>0</v>
      </c>
      <c r="Q379" s="192"/>
      <c r="R379" s="19">
        <f t="shared" si="49"/>
        <v>0</v>
      </c>
      <c r="S379" s="192">
        <f t="shared" si="50"/>
        <v>0</v>
      </c>
      <c r="T379" s="20">
        <v>5</v>
      </c>
      <c r="U379" s="20"/>
      <c r="V379" s="19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95">
        <v>300305</v>
      </c>
      <c r="B380" s="190">
        <v>18501</v>
      </c>
      <c r="C380" s="226" t="s">
        <v>159</v>
      </c>
      <c r="D380" s="226" t="s">
        <v>160</v>
      </c>
      <c r="E380" s="194" t="s">
        <v>57</v>
      </c>
      <c r="F380" s="196"/>
      <c r="G380" s="192"/>
      <c r="H380" s="192"/>
      <c r="I380" s="192"/>
      <c r="J380" s="192"/>
      <c r="K380" s="192">
        <f t="shared" si="46"/>
        <v>0</v>
      </c>
      <c r="L380" s="192">
        <f t="shared" si="47"/>
        <v>0</v>
      </c>
      <c r="M380" s="192">
        <v>530.20000000000005</v>
      </c>
      <c r="N380" s="192">
        <f t="shared" ref="N380:N385" si="52">+M380*1000/(202*4*13*60)*T380</f>
        <v>4.2063340949479562</v>
      </c>
      <c r="O380" s="192"/>
      <c r="P380" s="192">
        <f t="shared" si="48"/>
        <v>0</v>
      </c>
      <c r="Q380" s="192"/>
      <c r="R380" s="19">
        <f t="shared" si="49"/>
        <v>0</v>
      </c>
      <c r="S380" s="192">
        <f t="shared" si="50"/>
        <v>0</v>
      </c>
      <c r="T380" s="20">
        <v>5</v>
      </c>
      <c r="U380" s="20"/>
      <c r="V380" s="19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95">
        <v>300306</v>
      </c>
      <c r="B381" s="190">
        <v>18501</v>
      </c>
      <c r="C381" s="226" t="s">
        <v>159</v>
      </c>
      <c r="D381" s="226" t="s">
        <v>160</v>
      </c>
      <c r="E381" s="194" t="s">
        <v>117</v>
      </c>
      <c r="F381" s="196"/>
      <c r="G381" s="192"/>
      <c r="H381" s="192"/>
      <c r="I381" s="192"/>
      <c r="J381" s="192"/>
      <c r="K381" s="192">
        <f t="shared" si="46"/>
        <v>0</v>
      </c>
      <c r="L381" s="192">
        <f t="shared" si="47"/>
        <v>0</v>
      </c>
      <c r="M381" s="192">
        <v>538.79999999999995</v>
      </c>
      <c r="N381" s="192">
        <f t="shared" si="52"/>
        <v>4.2745620715917747</v>
      </c>
      <c r="O381" s="192"/>
      <c r="P381" s="192">
        <f t="shared" si="48"/>
        <v>0</v>
      </c>
      <c r="Q381" s="192"/>
      <c r="R381" s="19">
        <f t="shared" si="49"/>
        <v>0</v>
      </c>
      <c r="S381" s="192">
        <f t="shared" si="50"/>
        <v>0</v>
      </c>
      <c r="T381" s="20">
        <v>5</v>
      </c>
      <c r="U381" s="20"/>
      <c r="V381" s="19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95">
        <v>300307</v>
      </c>
      <c r="B382" s="190">
        <v>18501</v>
      </c>
      <c r="C382" s="226" t="s">
        <v>159</v>
      </c>
      <c r="D382" s="226" t="s">
        <v>160</v>
      </c>
      <c r="E382" s="194" t="s">
        <v>133</v>
      </c>
      <c r="F382" s="196"/>
      <c r="G382" s="192"/>
      <c r="H382" s="192"/>
      <c r="I382" s="192"/>
      <c r="J382" s="192"/>
      <c r="K382" s="192">
        <f t="shared" si="46"/>
        <v>0</v>
      </c>
      <c r="L382" s="192">
        <f t="shared" si="47"/>
        <v>0</v>
      </c>
      <c r="M382" s="192">
        <v>569</v>
      </c>
      <c r="N382" s="192">
        <f t="shared" si="52"/>
        <v>4.5141533384107637</v>
      </c>
      <c r="O382" s="192"/>
      <c r="P382" s="192">
        <f t="shared" si="48"/>
        <v>0</v>
      </c>
      <c r="Q382" s="192"/>
      <c r="R382" s="19">
        <f t="shared" si="49"/>
        <v>0</v>
      </c>
      <c r="S382" s="192">
        <f t="shared" si="50"/>
        <v>0</v>
      </c>
      <c r="T382" s="20">
        <v>5</v>
      </c>
      <c r="U382" s="20"/>
      <c r="V382" s="19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95">
        <v>300308</v>
      </c>
      <c r="B383" s="190">
        <v>18501</v>
      </c>
      <c r="C383" s="226" t="s">
        <v>159</v>
      </c>
      <c r="D383" s="226" t="s">
        <v>160</v>
      </c>
      <c r="E383" s="194" t="s">
        <v>132</v>
      </c>
      <c r="F383" s="196"/>
      <c r="G383" s="192"/>
      <c r="H383" s="192"/>
      <c r="I383" s="192"/>
      <c r="J383" s="192"/>
      <c r="K383" s="192">
        <f t="shared" si="46"/>
        <v>0</v>
      </c>
      <c r="L383" s="192">
        <f t="shared" si="47"/>
        <v>0</v>
      </c>
      <c r="M383" s="192">
        <v>523.6</v>
      </c>
      <c r="N383" s="192">
        <f t="shared" si="52"/>
        <v>4.1539730896166542</v>
      </c>
      <c r="O383" s="192"/>
      <c r="P383" s="192">
        <f t="shared" si="48"/>
        <v>0</v>
      </c>
      <c r="Q383" s="192"/>
      <c r="R383" s="19">
        <f t="shared" si="49"/>
        <v>0</v>
      </c>
      <c r="S383" s="192">
        <f t="shared" si="50"/>
        <v>0</v>
      </c>
      <c r="T383" s="20">
        <v>5</v>
      </c>
      <c r="U383" s="20"/>
      <c r="V383" s="19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95">
        <v>300182</v>
      </c>
      <c r="B384" s="190">
        <v>18501</v>
      </c>
      <c r="C384" s="226" t="s">
        <v>161</v>
      </c>
      <c r="D384" s="226" t="s">
        <v>160</v>
      </c>
      <c r="E384" s="194" t="s">
        <v>80</v>
      </c>
      <c r="F384" s="196"/>
      <c r="G384" s="192"/>
      <c r="H384" s="192"/>
      <c r="I384" s="192"/>
      <c r="J384" s="192"/>
      <c r="K384" s="192">
        <f t="shared" si="46"/>
        <v>0</v>
      </c>
      <c r="L384" s="192">
        <f t="shared" si="47"/>
        <v>0</v>
      </c>
      <c r="M384" s="192">
        <v>649.1</v>
      </c>
      <c r="N384" s="192">
        <f t="shared" si="52"/>
        <v>5.1496255394770252</v>
      </c>
      <c r="O384" s="192"/>
      <c r="P384" s="192">
        <f t="shared" si="48"/>
        <v>0</v>
      </c>
      <c r="Q384" s="192"/>
      <c r="R384" s="19">
        <f t="shared" si="49"/>
        <v>0</v>
      </c>
      <c r="S384" s="192">
        <f t="shared" si="50"/>
        <v>0</v>
      </c>
      <c r="T384" s="20">
        <v>5</v>
      </c>
      <c r="U384" s="20"/>
      <c r="V384" s="19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95">
        <v>300185</v>
      </c>
      <c r="B385" s="190">
        <v>18501</v>
      </c>
      <c r="C385" s="226" t="s">
        <v>161</v>
      </c>
      <c r="D385" s="226" t="s">
        <v>160</v>
      </c>
      <c r="E385" s="194" t="s">
        <v>135</v>
      </c>
      <c r="F385" s="196"/>
      <c r="G385" s="192"/>
      <c r="H385" s="192"/>
      <c r="I385" s="192"/>
      <c r="J385" s="192"/>
      <c r="K385" s="192">
        <f t="shared" si="46"/>
        <v>0</v>
      </c>
      <c r="L385" s="192">
        <f t="shared" si="47"/>
        <v>0</v>
      </c>
      <c r="M385" s="192">
        <v>638</v>
      </c>
      <c r="N385" s="192">
        <f t="shared" si="52"/>
        <v>6.0738766184310737</v>
      </c>
      <c r="O385" s="192"/>
      <c r="P385" s="192">
        <f t="shared" si="48"/>
        <v>0</v>
      </c>
      <c r="Q385" s="192"/>
      <c r="R385" s="19">
        <f t="shared" si="49"/>
        <v>0</v>
      </c>
      <c r="S385" s="192">
        <f t="shared" si="50"/>
        <v>0</v>
      </c>
      <c r="T385" s="20">
        <v>6</v>
      </c>
      <c r="U385" s="20"/>
      <c r="V385" s="19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95">
        <v>300272</v>
      </c>
      <c r="B386" s="190">
        <v>18502</v>
      </c>
      <c r="C386" s="226" t="s">
        <v>162</v>
      </c>
      <c r="D386" s="226"/>
      <c r="E386" s="194" t="s">
        <v>42</v>
      </c>
      <c r="F386" s="196"/>
      <c r="G386" s="192"/>
      <c r="H386" s="192"/>
      <c r="I386" s="192"/>
      <c r="J386" s="192"/>
      <c r="K386" s="192">
        <f t="shared" si="46"/>
        <v>0</v>
      </c>
      <c r="L386" s="192">
        <f t="shared" si="47"/>
        <v>0</v>
      </c>
      <c r="M386" s="192">
        <v>523.9</v>
      </c>
      <c r="N386" s="192">
        <f>+M386*1000/(128*4*13*60)*T386</f>
        <v>5.247395833333333</v>
      </c>
      <c r="O386" s="192"/>
      <c r="P386" s="192">
        <f t="shared" si="48"/>
        <v>0</v>
      </c>
      <c r="Q386" s="192"/>
      <c r="R386" s="19">
        <f t="shared" si="49"/>
        <v>0</v>
      </c>
      <c r="S386" s="192">
        <f t="shared" si="50"/>
        <v>0</v>
      </c>
      <c r="T386" s="20">
        <v>4</v>
      </c>
      <c r="U386" s="20"/>
      <c r="V386" s="19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95">
        <v>300273</v>
      </c>
      <c r="B387" s="190">
        <v>18502</v>
      </c>
      <c r="C387" s="226" t="s">
        <v>162</v>
      </c>
      <c r="D387" s="226"/>
      <c r="E387" s="194" t="s">
        <v>163</v>
      </c>
      <c r="F387" s="196"/>
      <c r="G387" s="192"/>
      <c r="H387" s="192"/>
      <c r="I387" s="192"/>
      <c r="J387" s="192"/>
      <c r="K387" s="192">
        <f t="shared" si="46"/>
        <v>0</v>
      </c>
      <c r="L387" s="192">
        <f t="shared" si="47"/>
        <v>0</v>
      </c>
      <c r="M387" s="192">
        <v>523.9</v>
      </c>
      <c r="N387" s="192">
        <f>+M387*1000/(128*4*13*60)*T387</f>
        <v>6.5592447916666661</v>
      </c>
      <c r="O387" s="192"/>
      <c r="P387" s="192">
        <f t="shared" si="48"/>
        <v>0</v>
      </c>
      <c r="Q387" s="192"/>
      <c r="R387" s="19">
        <f t="shared" si="49"/>
        <v>0</v>
      </c>
      <c r="S387" s="192">
        <f t="shared" si="50"/>
        <v>0</v>
      </c>
      <c r="T387" s="20">
        <v>5</v>
      </c>
      <c r="U387" s="20"/>
      <c r="V387" s="19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95">
        <v>300274</v>
      </c>
      <c r="B388" s="190">
        <v>18502</v>
      </c>
      <c r="C388" s="226" t="s">
        <v>162</v>
      </c>
      <c r="D388" s="226"/>
      <c r="E388" s="194" t="s">
        <v>146</v>
      </c>
      <c r="F388" s="196"/>
      <c r="G388" s="192"/>
      <c r="H388" s="192"/>
      <c r="I388" s="192"/>
      <c r="J388" s="192"/>
      <c r="K388" s="192">
        <f t="shared" si="46"/>
        <v>0</v>
      </c>
      <c r="L388" s="192">
        <f t="shared" si="47"/>
        <v>0</v>
      </c>
      <c r="M388" s="192">
        <v>523.9</v>
      </c>
      <c r="N388" s="192">
        <f>+M388*1000/(128*4*13*60)*T388</f>
        <v>5.247395833333333</v>
      </c>
      <c r="O388" s="192"/>
      <c r="P388" s="192">
        <f t="shared" si="48"/>
        <v>0</v>
      </c>
      <c r="Q388" s="192"/>
      <c r="R388" s="19">
        <f t="shared" si="49"/>
        <v>0</v>
      </c>
      <c r="S388" s="192">
        <f t="shared" si="50"/>
        <v>0</v>
      </c>
      <c r="T388" s="20">
        <v>4</v>
      </c>
      <c r="U388" s="20"/>
      <c r="V388" s="19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95">
        <v>300275</v>
      </c>
      <c r="B389" s="190">
        <v>18502</v>
      </c>
      <c r="C389" s="226" t="s">
        <v>162</v>
      </c>
      <c r="D389" s="226"/>
      <c r="E389" s="194" t="s">
        <v>164</v>
      </c>
      <c r="F389" s="196"/>
      <c r="G389" s="192"/>
      <c r="H389" s="192"/>
      <c r="I389" s="192"/>
      <c r="J389" s="192"/>
      <c r="K389" s="192">
        <f t="shared" si="46"/>
        <v>0</v>
      </c>
      <c r="L389" s="192">
        <f t="shared" si="47"/>
        <v>0</v>
      </c>
      <c r="M389" s="192">
        <v>523.9</v>
      </c>
      <c r="N389" s="192">
        <f>+M389*1000/(128*4*13*60)*T389</f>
        <v>5.247395833333333</v>
      </c>
      <c r="O389" s="192"/>
      <c r="P389" s="192">
        <f t="shared" si="48"/>
        <v>0</v>
      </c>
      <c r="Q389" s="192"/>
      <c r="R389" s="19">
        <f t="shared" si="49"/>
        <v>0</v>
      </c>
      <c r="S389" s="192">
        <f t="shared" si="50"/>
        <v>0</v>
      </c>
      <c r="T389" s="20">
        <v>4</v>
      </c>
      <c r="U389" s="20"/>
      <c r="V389" s="19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95">
        <v>300285</v>
      </c>
      <c r="B390" s="190">
        <v>13001</v>
      </c>
      <c r="C390" s="226" t="s">
        <v>165</v>
      </c>
      <c r="D390" s="226"/>
      <c r="E390" s="194" t="s">
        <v>37</v>
      </c>
      <c r="F390" s="196"/>
      <c r="G390" s="192"/>
      <c r="H390" s="192"/>
      <c r="I390" s="192"/>
      <c r="J390" s="192"/>
      <c r="K390" s="192">
        <f t="shared" si="46"/>
        <v>0</v>
      </c>
      <c r="L390" s="192">
        <f t="shared" si="47"/>
        <v>0</v>
      </c>
      <c r="M390" s="192">
        <v>438.7</v>
      </c>
      <c r="N390" s="192">
        <f t="shared" ref="N390:N395" si="53">+M390*1000/(90*4*18*60)*T390</f>
        <v>5.6417181069958842</v>
      </c>
      <c r="O390" s="192"/>
      <c r="P390" s="192">
        <f t="shared" si="48"/>
        <v>0</v>
      </c>
      <c r="Q390" s="192"/>
      <c r="R390" s="19">
        <f t="shared" si="49"/>
        <v>0</v>
      </c>
      <c r="S390" s="192">
        <f t="shared" si="50"/>
        <v>0</v>
      </c>
      <c r="T390" s="20">
        <v>5</v>
      </c>
      <c r="U390" s="20"/>
      <c r="V390" s="19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95">
        <v>300287</v>
      </c>
      <c r="B391" s="190">
        <v>13001</v>
      </c>
      <c r="C391" s="226" t="s">
        <v>165</v>
      </c>
      <c r="D391" s="226"/>
      <c r="E391" s="194" t="s">
        <v>57</v>
      </c>
      <c r="F391" s="196"/>
      <c r="G391" s="192"/>
      <c r="H391" s="192"/>
      <c r="I391" s="192"/>
      <c r="J391" s="192"/>
      <c r="K391" s="192">
        <f t="shared" si="46"/>
        <v>0</v>
      </c>
      <c r="L391" s="192">
        <f t="shared" si="47"/>
        <v>0</v>
      </c>
      <c r="M391" s="192">
        <v>438.7</v>
      </c>
      <c r="N391" s="192">
        <f t="shared" si="53"/>
        <v>5.6417181069958842</v>
      </c>
      <c r="O391" s="192"/>
      <c r="P391" s="192">
        <f t="shared" si="48"/>
        <v>0</v>
      </c>
      <c r="Q391" s="192"/>
      <c r="R391" s="19">
        <f t="shared" si="49"/>
        <v>0</v>
      </c>
      <c r="S391" s="192">
        <f t="shared" si="50"/>
        <v>0</v>
      </c>
      <c r="T391" s="20">
        <v>5</v>
      </c>
      <c r="U391" s="20"/>
      <c r="V391" s="19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95">
        <v>300284</v>
      </c>
      <c r="B392" s="190">
        <v>13001</v>
      </c>
      <c r="C392" s="226" t="s">
        <v>165</v>
      </c>
      <c r="D392" s="226"/>
      <c r="E392" s="194" t="s">
        <v>41</v>
      </c>
      <c r="F392" s="196"/>
      <c r="G392" s="192"/>
      <c r="H392" s="192"/>
      <c r="I392" s="192"/>
      <c r="J392" s="192"/>
      <c r="K392" s="192">
        <f t="shared" si="46"/>
        <v>0</v>
      </c>
      <c r="L392" s="192">
        <f t="shared" si="47"/>
        <v>0</v>
      </c>
      <c r="M392" s="192">
        <v>438.7</v>
      </c>
      <c r="N392" s="192">
        <f t="shared" si="53"/>
        <v>5.6417181069958842</v>
      </c>
      <c r="O392" s="192"/>
      <c r="P392" s="192">
        <f t="shared" si="48"/>
        <v>0</v>
      </c>
      <c r="Q392" s="192"/>
      <c r="R392" s="19">
        <f t="shared" si="49"/>
        <v>0</v>
      </c>
      <c r="S392" s="192">
        <f t="shared" si="50"/>
        <v>0</v>
      </c>
      <c r="T392" s="20">
        <v>5</v>
      </c>
      <c r="U392" s="20"/>
      <c r="V392" s="19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95">
        <v>300283</v>
      </c>
      <c r="B393" s="190">
        <v>13001</v>
      </c>
      <c r="C393" s="226" t="s">
        <v>165</v>
      </c>
      <c r="D393" s="226"/>
      <c r="E393" s="194" t="s">
        <v>35</v>
      </c>
      <c r="F393" s="196"/>
      <c r="G393" s="192"/>
      <c r="H393" s="192"/>
      <c r="I393" s="192"/>
      <c r="J393" s="192"/>
      <c r="K393" s="205">
        <f t="shared" si="46"/>
        <v>0</v>
      </c>
      <c r="L393" s="205">
        <f t="shared" si="47"/>
        <v>0</v>
      </c>
      <c r="M393" s="192">
        <v>438.7</v>
      </c>
      <c r="N393" s="192">
        <f t="shared" si="53"/>
        <v>5.6417181069958842</v>
      </c>
      <c r="O393" s="205"/>
      <c r="P393" s="192">
        <f t="shared" si="48"/>
        <v>0</v>
      </c>
      <c r="Q393" s="192"/>
      <c r="R393" s="19">
        <f t="shared" si="49"/>
        <v>0</v>
      </c>
      <c r="S393" s="192">
        <f t="shared" si="50"/>
        <v>0</v>
      </c>
      <c r="T393" s="20">
        <v>5</v>
      </c>
      <c r="U393" s="20"/>
      <c r="V393" s="19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95">
        <v>300289</v>
      </c>
      <c r="B394" s="190">
        <v>13001</v>
      </c>
      <c r="C394" s="226" t="s">
        <v>165</v>
      </c>
      <c r="D394" s="226"/>
      <c r="E394" s="194" t="s">
        <v>66</v>
      </c>
      <c r="F394" s="196"/>
      <c r="G394" s="192"/>
      <c r="H394" s="192"/>
      <c r="I394" s="192"/>
      <c r="J394" s="192"/>
      <c r="K394" s="205">
        <f t="shared" si="46"/>
        <v>0</v>
      </c>
      <c r="L394" s="205">
        <f t="shared" si="47"/>
        <v>0</v>
      </c>
      <c r="M394" s="192">
        <v>438.7</v>
      </c>
      <c r="N394" s="192">
        <f t="shared" si="53"/>
        <v>5.6417181069958842</v>
      </c>
      <c r="O394" s="205"/>
      <c r="P394" s="192">
        <f t="shared" si="48"/>
        <v>0</v>
      </c>
      <c r="Q394" s="192"/>
      <c r="R394" s="19">
        <f t="shared" si="49"/>
        <v>0</v>
      </c>
      <c r="S394" s="192">
        <f t="shared" si="50"/>
        <v>0</v>
      </c>
      <c r="T394" s="20">
        <v>5</v>
      </c>
      <c r="U394" s="20"/>
      <c r="V394" s="19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95">
        <v>300288</v>
      </c>
      <c r="B395" s="190">
        <v>13001</v>
      </c>
      <c r="C395" s="226" t="s">
        <v>165</v>
      </c>
      <c r="D395" s="226"/>
      <c r="E395" s="194" t="s">
        <v>166</v>
      </c>
      <c r="F395" s="196"/>
      <c r="G395" s="192"/>
      <c r="H395" s="192"/>
      <c r="I395" s="192"/>
      <c r="J395" s="192"/>
      <c r="K395" s="192">
        <f t="shared" si="46"/>
        <v>0</v>
      </c>
      <c r="L395" s="192">
        <f t="shared" si="47"/>
        <v>0</v>
      </c>
      <c r="M395" s="192">
        <v>438.7</v>
      </c>
      <c r="N395" s="192">
        <f t="shared" si="53"/>
        <v>5.6417181069958842</v>
      </c>
      <c r="O395" s="192"/>
      <c r="P395" s="192">
        <f t="shared" si="48"/>
        <v>0</v>
      </c>
      <c r="Q395" s="192"/>
      <c r="R395" s="19">
        <f t="shared" si="49"/>
        <v>0</v>
      </c>
      <c r="S395" s="192">
        <f t="shared" si="50"/>
        <v>0</v>
      </c>
      <c r="T395" s="20">
        <v>5</v>
      </c>
      <c r="U395" s="20"/>
      <c r="V395" s="19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99">
        <v>300355</v>
      </c>
      <c r="B396" s="124">
        <v>13001</v>
      </c>
      <c r="C396" s="240" t="s">
        <v>168</v>
      </c>
      <c r="D396" s="241"/>
      <c r="E396" s="53" t="s">
        <v>35</v>
      </c>
      <c r="F396" s="196"/>
      <c r="G396" s="192"/>
      <c r="H396" s="192"/>
      <c r="I396" s="192"/>
      <c r="J396" s="192"/>
      <c r="K396" s="205">
        <f t="shared" si="46"/>
        <v>0</v>
      </c>
      <c r="L396" s="192">
        <f t="shared" si="47"/>
        <v>0</v>
      </c>
      <c r="M396" s="192">
        <v>438</v>
      </c>
      <c r="N396" s="192">
        <f>+M396*1000/(110*4*18*60)*T396</f>
        <v>4.6085858585858581</v>
      </c>
      <c r="O396" s="192"/>
      <c r="P396" s="192">
        <f t="shared" si="48"/>
        <v>0</v>
      </c>
      <c r="Q396" s="192"/>
      <c r="R396" s="19">
        <f t="shared" si="49"/>
        <v>0</v>
      </c>
      <c r="S396" s="192">
        <f t="shared" si="50"/>
        <v>0</v>
      </c>
      <c r="T396" s="20">
        <v>5</v>
      </c>
      <c r="U396" s="20"/>
      <c r="V396" s="19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99">
        <v>300356</v>
      </c>
      <c r="B397" s="124">
        <v>13001</v>
      </c>
      <c r="C397" s="240" t="s">
        <v>168</v>
      </c>
      <c r="D397" s="241"/>
      <c r="E397" s="54" t="s">
        <v>41</v>
      </c>
      <c r="F397" s="196"/>
      <c r="G397" s="192"/>
      <c r="H397" s="192"/>
      <c r="I397" s="192"/>
      <c r="J397" s="192"/>
      <c r="K397" s="205">
        <f t="shared" si="46"/>
        <v>0</v>
      </c>
      <c r="L397" s="192">
        <f t="shared" si="47"/>
        <v>0</v>
      </c>
      <c r="M397" s="192">
        <v>438</v>
      </c>
      <c r="N397" s="192">
        <f>+M397*1000/(110*4*18*60)*T397</f>
        <v>4.6085858585858581</v>
      </c>
      <c r="O397" s="192"/>
      <c r="P397" s="192">
        <f t="shared" si="48"/>
        <v>0</v>
      </c>
      <c r="Q397" s="192"/>
      <c r="R397" s="19">
        <f t="shared" si="49"/>
        <v>0</v>
      </c>
      <c r="S397" s="192">
        <f t="shared" si="50"/>
        <v>0</v>
      </c>
      <c r="T397" s="20">
        <v>5</v>
      </c>
      <c r="U397" s="20"/>
      <c r="V397" s="19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99">
        <v>300357</v>
      </c>
      <c r="B398" s="190">
        <v>13002</v>
      </c>
      <c r="C398" s="237" t="s">
        <v>168</v>
      </c>
      <c r="D398" s="238"/>
      <c r="E398" s="191" t="s">
        <v>37</v>
      </c>
      <c r="F398" s="13"/>
      <c r="G398" s="192">
        <v>0.2</v>
      </c>
      <c r="H398" s="192">
        <f>80/400</f>
        <v>0.2</v>
      </c>
      <c r="I398" s="192">
        <f>+H398</f>
        <v>0.2</v>
      </c>
      <c r="J398" s="192"/>
      <c r="K398" s="205">
        <f t="shared" si="46"/>
        <v>87.600000000000009</v>
      </c>
      <c r="L398" s="192">
        <f t="shared" si="47"/>
        <v>87.600000000000009</v>
      </c>
      <c r="M398" s="192">
        <v>438</v>
      </c>
      <c r="N398" s="15">
        <f>+M398*1000/(110*4*18*60)*T398</f>
        <v>4.6085858585858581</v>
      </c>
      <c r="O398" s="192"/>
      <c r="P398" s="192">
        <f t="shared" si="48"/>
        <v>0.92171717171717171</v>
      </c>
      <c r="Q398" s="192">
        <v>2</v>
      </c>
      <c r="R398" s="19">
        <f t="shared" si="49"/>
        <v>6</v>
      </c>
      <c r="S398" s="192">
        <f t="shared" si="50"/>
        <v>5.0782828282828287</v>
      </c>
      <c r="T398" s="20">
        <v>5</v>
      </c>
      <c r="U398" s="20">
        <v>3</v>
      </c>
      <c r="V398" s="198">
        <f t="array" ref="V398">IF(ISERROR(L398/K398),"",L398/K398)</f>
        <v>1</v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99">
        <v>300358</v>
      </c>
      <c r="B399" s="190">
        <v>13002</v>
      </c>
      <c r="C399" s="237" t="s">
        <v>168</v>
      </c>
      <c r="D399" s="238"/>
      <c r="E399" s="191" t="s">
        <v>66</v>
      </c>
      <c r="F399" s="13"/>
      <c r="G399" s="192">
        <v>5</v>
      </c>
      <c r="H399" s="192"/>
      <c r="I399" s="192">
        <v>5</v>
      </c>
      <c r="J399" s="192"/>
      <c r="K399" s="205">
        <f t="shared" si="46"/>
        <v>2190</v>
      </c>
      <c r="L399" s="192">
        <f t="shared" si="47"/>
        <v>2190</v>
      </c>
      <c r="M399" s="192">
        <v>438</v>
      </c>
      <c r="N399" s="15">
        <f>+M399*1000/(110*4*18*60)*T399</f>
        <v>4.6085858585858581</v>
      </c>
      <c r="O399" s="192">
        <v>0.5</v>
      </c>
      <c r="P399" s="192">
        <f t="shared" si="48"/>
        <v>24.542929292929291</v>
      </c>
      <c r="Q399" s="192">
        <v>4.5</v>
      </c>
      <c r="R399" s="19">
        <f t="shared" si="49"/>
        <v>13.5</v>
      </c>
      <c r="S399" s="192">
        <f t="shared" si="50"/>
        <v>-11.042929292929291</v>
      </c>
      <c r="T399" s="20">
        <v>5</v>
      </c>
      <c r="U399" s="20">
        <v>3</v>
      </c>
      <c r="V399" s="198">
        <f t="array" ref="V399">IF(ISERROR(L399/K399),"",L399/K399)</f>
        <v>1</v>
      </c>
      <c r="W399" s="20"/>
      <c r="X399" s="20"/>
      <c r="Y399" s="20"/>
      <c r="Z399" s="20"/>
      <c r="AA399" s="20">
        <f>1+15/60</f>
        <v>1.25</v>
      </c>
      <c r="AB399" s="20"/>
      <c r="AC399" s="20"/>
    </row>
    <row r="400" spans="1:29" ht="21.95" hidden="1" customHeight="1">
      <c r="A400" s="195">
        <v>300438</v>
      </c>
      <c r="B400" s="190" t="s">
        <v>87</v>
      </c>
      <c r="C400" s="226" t="s">
        <v>312</v>
      </c>
      <c r="D400" s="226" t="s">
        <v>89</v>
      </c>
      <c r="E400" s="194" t="s">
        <v>35</v>
      </c>
      <c r="F400" s="13"/>
      <c r="G400" s="192"/>
      <c r="H400" s="192"/>
      <c r="I400" s="192"/>
      <c r="J400" s="192"/>
      <c r="K400" s="192">
        <f>G400*M400</f>
        <v>0</v>
      </c>
      <c r="L400" s="192">
        <f>I400*M400</f>
        <v>0</v>
      </c>
      <c r="M400" s="192">
        <v>336.6</v>
      </c>
      <c r="N400" s="192">
        <f>+M400*1000/(45*10*18*60)*T400</f>
        <v>1.3851851851851851</v>
      </c>
      <c r="O400" s="192"/>
      <c r="P400" s="192">
        <f>N400*I400+O400*U400</f>
        <v>0</v>
      </c>
      <c r="Q400" s="192"/>
      <c r="R400" s="19">
        <f>Q400*U400</f>
        <v>0</v>
      </c>
      <c r="S400" s="192">
        <f>R400-P400</f>
        <v>0</v>
      </c>
      <c r="T400" s="20">
        <v>2</v>
      </c>
      <c r="U400" s="20"/>
      <c r="V400" s="198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95">
        <v>300439</v>
      </c>
      <c r="B401" s="190" t="s">
        <v>87</v>
      </c>
      <c r="C401" s="226" t="s">
        <v>312</v>
      </c>
      <c r="D401" s="226" t="s">
        <v>89</v>
      </c>
      <c r="E401" s="194" t="s">
        <v>66</v>
      </c>
      <c r="F401" s="13"/>
      <c r="G401" s="192"/>
      <c r="H401" s="192"/>
      <c r="I401" s="192"/>
      <c r="J401" s="192"/>
      <c r="K401" s="192">
        <f>G401*M401</f>
        <v>0</v>
      </c>
      <c r="L401" s="192">
        <f>I401*M401</f>
        <v>0</v>
      </c>
      <c r="M401" s="192">
        <v>336.6</v>
      </c>
      <c r="N401" s="192">
        <f>+M401*1000/(45*10*18*60)*T401</f>
        <v>1.3851851851851851</v>
      </c>
      <c r="O401" s="192"/>
      <c r="P401" s="192">
        <f>N401*I401+O401*U401</f>
        <v>0</v>
      </c>
      <c r="Q401" s="192"/>
      <c r="R401" s="19">
        <f>Q401*U401</f>
        <v>0</v>
      </c>
      <c r="S401" s="192">
        <f>R401-P401</f>
        <v>0</v>
      </c>
      <c r="T401" s="20">
        <v>2</v>
      </c>
      <c r="U401" s="20"/>
      <c r="V401" s="19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95">
        <v>300440</v>
      </c>
      <c r="B402" s="190">
        <v>13002</v>
      </c>
      <c r="C402" s="226" t="s">
        <v>312</v>
      </c>
      <c r="D402" s="226" t="s">
        <v>89</v>
      </c>
      <c r="E402" s="194" t="s">
        <v>41</v>
      </c>
      <c r="F402" s="13"/>
      <c r="G402" s="192">
        <v>4</v>
      </c>
      <c r="H402" s="192"/>
      <c r="I402" s="192">
        <f>4-(100/300)</f>
        <v>3.6666666666666665</v>
      </c>
      <c r="J402" s="192">
        <v>100</v>
      </c>
      <c r="K402" s="192">
        <f>G402*M402</f>
        <v>1346.4</v>
      </c>
      <c r="L402" s="192">
        <f>I402*M402</f>
        <v>1234.2</v>
      </c>
      <c r="M402" s="192">
        <v>336.6</v>
      </c>
      <c r="N402" s="192">
        <f>+M402*1000/(45*10*18*60)*T402</f>
        <v>1.3851851851851851</v>
      </c>
      <c r="O402" s="192">
        <v>0.5</v>
      </c>
      <c r="P402" s="192">
        <f>N402*I402+O402*U402</f>
        <v>6.5790123456790122</v>
      </c>
      <c r="Q402" s="192">
        <v>4.5</v>
      </c>
      <c r="R402" s="19">
        <f>Q402*U402</f>
        <v>13.5</v>
      </c>
      <c r="S402" s="192">
        <f>R402-P402</f>
        <v>6.9209876543209878</v>
      </c>
      <c r="T402" s="20">
        <v>2</v>
      </c>
      <c r="U402" s="20">
        <v>3</v>
      </c>
      <c r="V402" s="198">
        <f t="array" ref="V402">IF(ISERROR(L402/K402),"",L402/K402)</f>
        <v>0.91666666666666663</v>
      </c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95">
        <v>300441</v>
      </c>
      <c r="B403" s="190" t="s">
        <v>87</v>
      </c>
      <c r="C403" s="226" t="s">
        <v>312</v>
      </c>
      <c r="D403" s="226" t="s">
        <v>89</v>
      </c>
      <c r="E403" s="194" t="s">
        <v>37</v>
      </c>
      <c r="F403" s="13"/>
      <c r="G403" s="110"/>
      <c r="H403" s="110"/>
      <c r="I403" s="110"/>
      <c r="J403" s="110"/>
      <c r="K403" s="192">
        <f>G403*M403</f>
        <v>0</v>
      </c>
      <c r="L403" s="192">
        <f>I403*M403</f>
        <v>0</v>
      </c>
      <c r="M403" s="192">
        <v>336.6</v>
      </c>
      <c r="N403" s="192">
        <f>+M403*1000/(45*10*18*60)*T403</f>
        <v>1.3851851851851851</v>
      </c>
      <c r="O403" s="192"/>
      <c r="P403" s="192">
        <f>N403*I403+O403*U403</f>
        <v>0</v>
      </c>
      <c r="Q403" s="192"/>
      <c r="R403" s="19">
        <f>Q403*U403</f>
        <v>0</v>
      </c>
      <c r="S403" s="192">
        <f>R403-P403</f>
        <v>0</v>
      </c>
      <c r="T403" s="20">
        <v>2</v>
      </c>
      <c r="U403" s="20"/>
      <c r="V403" s="198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99">
        <v>300406</v>
      </c>
      <c r="B404" s="190" t="s">
        <v>171</v>
      </c>
      <c r="C404" s="237" t="s">
        <v>172</v>
      </c>
      <c r="D404" s="238"/>
      <c r="E404" s="191" t="s">
        <v>149</v>
      </c>
      <c r="F404" s="27"/>
      <c r="G404" s="201"/>
      <c r="H404" s="192"/>
      <c r="I404" s="192"/>
      <c r="J404" s="192"/>
      <c r="K404" s="205">
        <f t="shared" ref="K404:K407" si="54">G404*M404</f>
        <v>0</v>
      </c>
      <c r="L404" s="192">
        <f t="shared" ref="L404:L407" si="55">I404*M404</f>
        <v>0</v>
      </c>
      <c r="M404" s="192">
        <v>628.29999999999995</v>
      </c>
      <c r="N404" s="15">
        <f>+M404*1000/(132*4*18*60)*T404</f>
        <v>5.5090838945005611</v>
      </c>
      <c r="O404" s="192"/>
      <c r="P404" s="192">
        <f t="shared" ref="P404:P407" si="56">N404*I404+O404*U404</f>
        <v>0</v>
      </c>
      <c r="Q404" s="192"/>
      <c r="R404" s="19">
        <f t="shared" ref="R404:R407" si="57">Q404*U404</f>
        <v>0</v>
      </c>
      <c r="S404" s="192">
        <f t="shared" ref="S404:S407" si="58">R404-P404</f>
        <v>0</v>
      </c>
      <c r="T404" s="20">
        <v>5</v>
      </c>
      <c r="U404" s="20"/>
      <c r="V404" s="19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99">
        <v>300407</v>
      </c>
      <c r="B405" s="190" t="s">
        <v>171</v>
      </c>
      <c r="C405" s="237" t="s">
        <v>172</v>
      </c>
      <c r="D405" s="238"/>
      <c r="E405" s="191" t="s">
        <v>173</v>
      </c>
      <c r="F405" s="27"/>
      <c r="G405" s="201"/>
      <c r="H405" s="192"/>
      <c r="I405" s="192"/>
      <c r="J405" s="192"/>
      <c r="K405" s="205">
        <f t="shared" si="54"/>
        <v>0</v>
      </c>
      <c r="L405" s="192">
        <f t="shared" si="55"/>
        <v>0</v>
      </c>
      <c r="M405" s="192">
        <v>628.29999999999995</v>
      </c>
      <c r="N405" s="15">
        <f>+M405*1000/(132*4*18*60)*T405</f>
        <v>5.5090838945005611</v>
      </c>
      <c r="O405" s="192"/>
      <c r="P405" s="192">
        <f t="shared" si="56"/>
        <v>0</v>
      </c>
      <c r="Q405" s="192"/>
      <c r="R405" s="19">
        <f t="shared" si="57"/>
        <v>0</v>
      </c>
      <c r="S405" s="192">
        <f t="shared" si="58"/>
        <v>0</v>
      </c>
      <c r="T405" s="20">
        <v>5</v>
      </c>
      <c r="U405" s="20"/>
      <c r="V405" s="19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99">
        <v>300408</v>
      </c>
      <c r="B406" s="190" t="s">
        <v>171</v>
      </c>
      <c r="C406" s="237" t="s">
        <v>172</v>
      </c>
      <c r="D406" s="238"/>
      <c r="E406" s="191" t="s">
        <v>41</v>
      </c>
      <c r="F406" s="27"/>
      <c r="G406" s="201"/>
      <c r="H406" s="192"/>
      <c r="I406" s="192"/>
      <c r="J406" s="192"/>
      <c r="K406" s="205">
        <f t="shared" si="54"/>
        <v>0</v>
      </c>
      <c r="L406" s="192">
        <f t="shared" si="55"/>
        <v>0</v>
      </c>
      <c r="M406" s="192">
        <v>628.29999999999995</v>
      </c>
      <c r="N406" s="15">
        <f>+M406*1000/(132*4*18*60)*T406</f>
        <v>5.5090838945005611</v>
      </c>
      <c r="O406" s="192"/>
      <c r="P406" s="192">
        <f t="shared" si="56"/>
        <v>0</v>
      </c>
      <c r="Q406" s="192"/>
      <c r="R406" s="19">
        <f t="shared" si="57"/>
        <v>0</v>
      </c>
      <c r="S406" s="192">
        <f t="shared" si="58"/>
        <v>0</v>
      </c>
      <c r="T406" s="20">
        <v>5</v>
      </c>
      <c r="U406" s="20"/>
      <c r="V406" s="19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99">
        <v>300409</v>
      </c>
      <c r="B407" s="190" t="s">
        <v>171</v>
      </c>
      <c r="C407" s="237" t="s">
        <v>172</v>
      </c>
      <c r="D407" s="238"/>
      <c r="E407" s="191" t="s">
        <v>174</v>
      </c>
      <c r="F407" s="27"/>
      <c r="G407" s="201"/>
      <c r="H407" s="192"/>
      <c r="I407" s="192"/>
      <c r="J407" s="192"/>
      <c r="K407" s="205">
        <f t="shared" si="54"/>
        <v>0</v>
      </c>
      <c r="L407" s="192">
        <f t="shared" si="55"/>
        <v>0</v>
      </c>
      <c r="M407" s="192">
        <v>628.29999999999995</v>
      </c>
      <c r="N407" s="15">
        <f>+M407*1000/(132*4*18*60)*T407</f>
        <v>5.5090838945005611</v>
      </c>
      <c r="O407" s="192"/>
      <c r="P407" s="192">
        <f t="shared" si="56"/>
        <v>0</v>
      </c>
      <c r="Q407" s="192"/>
      <c r="R407" s="19">
        <f t="shared" si="57"/>
        <v>0</v>
      </c>
      <c r="S407" s="192">
        <f t="shared" si="58"/>
        <v>0</v>
      </c>
      <c r="T407" s="20">
        <v>5</v>
      </c>
      <c r="U407" s="20"/>
      <c r="V407" s="19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92">
        <f t="array" ref="G408">SUM(IF(ISERROR(G215:G407),“”,G215:G407))</f>
        <v>29.48</v>
      </c>
      <c r="H408" s="192">
        <f t="array" ref="H408">SUM(IF(ISERROR(H215:H407),“”,H215:H407))</f>
        <v>0.48333333333333334</v>
      </c>
      <c r="I408" s="192">
        <f t="array" ref="I408">SUM(IF(ISERROR(I215:I407),“”,I215:I407))</f>
        <v>28.716666666666665</v>
      </c>
      <c r="J408" s="192">
        <f t="array" ref="J408">SUM(IF(ISERROR(J215:J407),“”,J215:J407))</f>
        <v>360</v>
      </c>
      <c r="K408" s="192">
        <f t="array" ref="K408">SUM(IF(ISERROR(K215:K407),“”,K215:K407))</f>
        <v>14211.008</v>
      </c>
      <c r="L408" s="117">
        <f>SUM(L215:L402)</f>
        <v>13833.156666666668</v>
      </c>
      <c r="M408" s="192"/>
      <c r="N408" s="192"/>
      <c r="O408" s="192">
        <f t="array" ref="O408">SUM(IF(ISERROR(O215:O407),“”,O215:O407))</f>
        <v>3</v>
      </c>
      <c r="P408" s="56">
        <f>SUM((P215:P399),(W413:X418))</f>
        <v>210.29481501932091</v>
      </c>
      <c r="Q408" s="192"/>
      <c r="R408" s="56">
        <f>SUM((R215:R399),(Y413:Z418))</f>
        <v>188.5</v>
      </c>
      <c r="S408" s="192">
        <f t="array" ref="S408">SUM(IF(ISERROR(S215:S407),“”,S215:S407))</f>
        <v>-3.373827364999916</v>
      </c>
      <c r="T408" s="192"/>
      <c r="U408" s="192"/>
      <c r="V408" s="198">
        <f>IF(ISERROR(L408/K408),"",L408/K408)</f>
        <v>0.97341136298471354</v>
      </c>
      <c r="W408" s="192">
        <f t="array" ref="W408">SUM(IF(ISERROR(W215:W407),“”,W215:W407))</f>
        <v>0</v>
      </c>
      <c r="X408" s="192">
        <f t="array" ref="X408">SUM(IF(ISERROR(X215:X407),“”,X215:X407))</f>
        <v>0</v>
      </c>
      <c r="Y408" s="192">
        <f t="array" ref="Y408">SUM(IF(ISERROR(Y215:Y407),“”,Y215:Y407))</f>
        <v>0</v>
      </c>
      <c r="Z408" s="192">
        <f t="array" ref="Z408">SUM(IF(ISERROR(Z215:Z407),“”,Z215:Z407))</f>
        <v>0</v>
      </c>
      <c r="AA408" s="192">
        <f t="array" ref="AA408">SUM(IF(ISERROR(AA215:AA407),“”,AA215:AA407))</f>
        <v>1.25</v>
      </c>
      <c r="AB408" s="192">
        <f t="array" ref="AB408">SUM(IF(ISERROR(AB215:AB407),“”,AB215:AB407))</f>
        <v>0</v>
      </c>
      <c r="AC408" s="192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>
        <f t="array" ref="O409">IF(ISERROR(P408/R408),"",P408/R408)</f>
        <v>1.1156223608452038</v>
      </c>
      <c r="P409" s="252"/>
      <c r="Q409" s="252"/>
      <c r="R409" s="253"/>
      <c r="S409" s="44"/>
      <c r="T409" s="45"/>
      <c r="U409" s="45"/>
      <c r="V409" s="45"/>
      <c r="W409" s="254">
        <f>SUM(W408:AC408)</f>
        <v>1.25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>
        <v>0</v>
      </c>
      <c r="F411" s="257"/>
      <c r="G411" s="257">
        <v>0</v>
      </c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>
        <v>2782.7</v>
      </c>
      <c r="F412" s="257"/>
      <c r="G412" s="257">
        <v>2782.7</v>
      </c>
      <c r="H412" s="257"/>
      <c r="I412" s="257">
        <f>G412-E412</f>
        <v>0</v>
      </c>
      <c r="J412" s="257"/>
      <c r="K412" s="259">
        <f t="array" ref="K412">IF(ISERROR(I412/E412),"",I412/E412)</f>
        <v>0</v>
      </c>
      <c r="L412" s="259"/>
      <c r="M412" s="244"/>
      <c r="N412" s="245"/>
      <c r="O412" s="299"/>
      <c r="P412" s="299"/>
      <c r="Q412" s="261" t="s">
        <v>193</v>
      </c>
      <c r="R412" s="261"/>
      <c r="S412" s="262">
        <v>8</v>
      </c>
      <c r="T412" s="262"/>
      <c r="U412" s="262">
        <f>3+4+5</f>
        <v>12</v>
      </c>
      <c r="V412" s="262"/>
      <c r="W412" s="261">
        <f>S412*11.5</f>
        <v>92</v>
      </c>
      <c r="X412" s="261"/>
      <c r="Y412" s="261">
        <f>U412*11.5</f>
        <v>138</v>
      </c>
      <c r="Z412" s="261"/>
      <c r="AA412" s="261">
        <f t="shared" ref="AA412:AA419" si="59">Y412-W412</f>
        <v>46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>
        <v>0</v>
      </c>
      <c r="F413" s="257"/>
      <c r="G413" s="257">
        <v>0</v>
      </c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>
        <v>2</v>
      </c>
      <c r="T413" s="262"/>
      <c r="U413" s="262">
        <v>3</v>
      </c>
      <c r="V413" s="262"/>
      <c r="W413" s="261">
        <f t="shared" ref="W413:W419" si="60">S413*11.5</f>
        <v>23</v>
      </c>
      <c r="X413" s="261"/>
      <c r="Y413" s="261">
        <f t="shared" ref="Y413:Y419" si="61">U413*11.5</f>
        <v>34.5</v>
      </c>
      <c r="Z413" s="261"/>
      <c r="AA413" s="261">
        <f t="shared" si="59"/>
        <v>11.5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336">
        <v>0.75</v>
      </c>
      <c r="T414" s="337"/>
      <c r="U414" s="262">
        <v>0</v>
      </c>
      <c r="V414" s="262"/>
      <c r="W414" s="261">
        <f t="shared" si="60"/>
        <v>8.625</v>
      </c>
      <c r="X414" s="261"/>
      <c r="Y414" s="261">
        <f t="shared" si="61"/>
        <v>0</v>
      </c>
      <c r="Z414" s="261"/>
      <c r="AA414" s="261">
        <f t="shared" si="59"/>
        <v>-8.625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97">
        <v>5</v>
      </c>
      <c r="G415" s="302">
        <v>147242</v>
      </c>
      <c r="H415" s="302"/>
      <c r="I415" s="263">
        <v>147199</v>
      </c>
      <c r="J415" s="264"/>
      <c r="K415" s="267">
        <f>G415-I415</f>
        <v>43</v>
      </c>
      <c r="L415" s="267"/>
      <c r="M415" s="268">
        <f t="array" ref="M415">IF(ISERROR(K415/L408),"",K415/(L408/1000))</f>
        <v>3.1084734335161386</v>
      </c>
      <c r="N415" s="268"/>
      <c r="O415" s="299"/>
      <c r="P415" s="299"/>
      <c r="Q415" s="261" t="s">
        <v>205</v>
      </c>
      <c r="R415" s="261"/>
      <c r="S415" s="336">
        <v>0.75</v>
      </c>
      <c r="T415" s="337"/>
      <c r="U415" s="262">
        <v>0</v>
      </c>
      <c r="V415" s="262"/>
      <c r="W415" s="261">
        <f t="shared" si="60"/>
        <v>8.625</v>
      </c>
      <c r="X415" s="261"/>
      <c r="Y415" s="261">
        <f t="shared" si="61"/>
        <v>0</v>
      </c>
      <c r="Z415" s="261"/>
      <c r="AA415" s="261">
        <f t="shared" si="59"/>
        <v>-8.625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97">
        <v>105</v>
      </c>
      <c r="G416" s="302">
        <f>28362.8*120+44546.4*60</f>
        <v>6076320</v>
      </c>
      <c r="H416" s="302"/>
      <c r="I416" s="263">
        <v>6075258</v>
      </c>
      <c r="J416" s="264"/>
      <c r="K416" s="267">
        <f>G416-I416</f>
        <v>1062</v>
      </c>
      <c r="L416" s="267"/>
      <c r="M416" s="268">
        <f t="array" ref="M416">IF(ISERROR(K416/L408),"",K416/(L408/1000))</f>
        <v>76.772064799863699</v>
      </c>
      <c r="N416" s="268"/>
      <c r="O416" s="299"/>
      <c r="P416" s="299"/>
      <c r="Q416" s="261" t="s">
        <v>208</v>
      </c>
      <c r="R416" s="261"/>
      <c r="S416" s="336">
        <v>1.5</v>
      </c>
      <c r="T416" s="337"/>
      <c r="U416" s="262">
        <v>0</v>
      </c>
      <c r="V416" s="262"/>
      <c r="W416" s="261">
        <f t="shared" si="60"/>
        <v>17.25</v>
      </c>
      <c r="X416" s="261"/>
      <c r="Y416" s="261">
        <f t="shared" si="61"/>
        <v>0</v>
      </c>
      <c r="Z416" s="261"/>
      <c r="AA416" s="261">
        <f t="shared" si="59"/>
        <v>-17.25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97">
        <v>0.55000000000000004</v>
      </c>
      <c r="G417" s="302">
        <f>27608+8</f>
        <v>27616</v>
      </c>
      <c r="H417" s="302"/>
      <c r="I417" s="305">
        <v>27608</v>
      </c>
      <c r="J417" s="306"/>
      <c r="K417" s="267">
        <f>G417-I417</f>
        <v>8</v>
      </c>
      <c r="L417" s="267"/>
      <c r="M417" s="271">
        <f t="array" ref="M417">IF(ISERROR(K417/L408),"",K417/(L408/1000))</f>
        <v>0.57832063879370021</v>
      </c>
      <c r="N417" s="271"/>
      <c r="O417" s="299"/>
      <c r="P417" s="299"/>
      <c r="Q417" s="261" t="s">
        <v>211</v>
      </c>
      <c r="R417" s="261"/>
      <c r="S417" s="336">
        <v>1</v>
      </c>
      <c r="T417" s="337"/>
      <c r="U417" s="262">
        <v>1</v>
      </c>
      <c r="V417" s="262"/>
      <c r="W417" s="261">
        <f t="shared" si="60"/>
        <v>11.5</v>
      </c>
      <c r="X417" s="261"/>
      <c r="Y417" s="261">
        <f t="shared" si="61"/>
        <v>11.5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>
        <f>1.44+1.12/2</f>
        <v>2</v>
      </c>
      <c r="L418" s="279"/>
      <c r="M418" s="272">
        <f t="array" ref="M418">IF(ISERROR((K418+K419)/L408),"",((K418+K419)*1000)/(L408/1000))</f>
        <v>144.58015969842506</v>
      </c>
      <c r="N418" s="273"/>
      <c r="O418" s="299"/>
      <c r="P418" s="299"/>
      <c r="Q418" s="261" t="s">
        <v>214</v>
      </c>
      <c r="R418" s="261"/>
      <c r="S418" s="336">
        <v>3</v>
      </c>
      <c r="T418" s="337"/>
      <c r="U418" s="262">
        <f>2+2</f>
        <v>4</v>
      </c>
      <c r="V418" s="262"/>
      <c r="W418" s="261">
        <f t="shared" si="60"/>
        <v>34.5</v>
      </c>
      <c r="X418" s="261"/>
      <c r="Y418" s="261">
        <f t="shared" si="61"/>
        <v>46</v>
      </c>
      <c r="Z418" s="261"/>
      <c r="AA418" s="261">
        <f t="shared" si="59"/>
        <v>11.5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17</v>
      </c>
      <c r="T419" s="262"/>
      <c r="U419" s="262">
        <f>SUM(U412:V418)</f>
        <v>20</v>
      </c>
      <c r="V419" s="262"/>
      <c r="W419" s="261">
        <f t="shared" si="60"/>
        <v>195.5</v>
      </c>
      <c r="X419" s="261"/>
      <c r="Y419" s="261">
        <f t="shared" si="61"/>
        <v>230</v>
      </c>
      <c r="Z419" s="261"/>
      <c r="AA419" s="261">
        <f t="shared" si="59"/>
        <v>34.5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>
        <f>IF(ISERROR(K417/K418),"",K417/K418)</f>
        <v>4</v>
      </c>
      <c r="N420" s="281"/>
      <c r="O420" s="299"/>
      <c r="P420" s="299"/>
      <c r="Q420" s="258" t="s">
        <v>219</v>
      </c>
      <c r="R420" s="258"/>
      <c r="S420" s="308">
        <f t="array" ref="S420">IF(ISERROR(L408/Y419),"",L408/Y419)</f>
        <v>60.14415942028986</v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27784.807999999997</v>
      </c>
      <c r="D423" s="315"/>
      <c r="E423" s="311" t="s">
        <v>226</v>
      </c>
      <c r="F423" s="311"/>
      <c r="G423" s="311">
        <f>L199+L408</f>
        <v>27201.390666666666</v>
      </c>
      <c r="H423" s="311"/>
      <c r="I423" s="318" t="s">
        <v>227</v>
      </c>
      <c r="J423" s="318"/>
      <c r="K423" s="317">
        <f>IF(ISERROR(G423/C423),"",G423/C423)</f>
        <v>0.97900229026836061</v>
      </c>
      <c r="L423" s="317"/>
      <c r="M423" s="311" t="s">
        <v>228</v>
      </c>
      <c r="N423" s="311"/>
      <c r="O423" s="312">
        <f>IF(ISERROR(G423/G424),"",G423/G424)</f>
        <v>77.386602181128495</v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426.46948129733698</v>
      </c>
      <c r="D424" s="315"/>
      <c r="E424" s="316" t="s">
        <v>18</v>
      </c>
      <c r="F424" s="316"/>
      <c r="G424" s="311">
        <f>R199+R408</f>
        <v>351.5</v>
      </c>
      <c r="H424" s="311"/>
      <c r="I424" s="291" t="s">
        <v>176</v>
      </c>
      <c r="J424" s="291"/>
      <c r="K424" s="317">
        <f>IF(ISERROR(C424/G424),"",C424/G424)</f>
        <v>1.2132844418131921</v>
      </c>
      <c r="L424" s="317"/>
      <c r="M424" s="257" t="s">
        <v>230</v>
      </c>
      <c r="N424" s="257"/>
      <c r="O424" s="311">
        <f>W200+W409</f>
        <v>8.25</v>
      </c>
      <c r="P424" s="257"/>
      <c r="Q424" s="257" t="s">
        <v>231</v>
      </c>
      <c r="R424" s="257"/>
      <c r="S424" s="317">
        <f t="array" ref="S424">IF(ISERROR(O424/G424),"",O424/G424)</f>
        <v>2.3470839260312945E-2</v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77</v>
      </c>
      <c r="D426" s="315"/>
      <c r="E426" s="311" t="s">
        <v>234</v>
      </c>
      <c r="F426" s="311"/>
      <c r="G426" s="271">
        <f t="array" ref="G426">IF(ISERROR(C426/G423),"",C426/(G423/1000))</f>
        <v>2.8307376245420395</v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1962</v>
      </c>
      <c r="D427" s="315"/>
      <c r="E427" s="311" t="s">
        <v>236</v>
      </c>
      <c r="F427" s="311"/>
      <c r="G427" s="271">
        <f>IF(ISERROR(C427/G423),"",C427/(G423/1000))</f>
        <v>72.128665186382875</v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18</v>
      </c>
      <c r="D428" s="315"/>
      <c r="E428" s="311" t="s">
        <v>238</v>
      </c>
      <c r="F428" s="311"/>
      <c r="G428" s="271">
        <f>IF(ISERROR(C428/G423),"",C428/(G423/1000))</f>
        <v>0.6617308732695677</v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4.96</v>
      </c>
      <c r="D429" s="315"/>
      <c r="E429" s="311" t="s">
        <v>240</v>
      </c>
      <c r="F429" s="311"/>
      <c r="G429" s="319">
        <f>IF(ISERROR(C429/G423),"",C429/(G423/1000))</f>
        <v>0.18234361841205865</v>
      </c>
      <c r="H429" s="319"/>
      <c r="I429" s="311" t="s">
        <v>241</v>
      </c>
      <c r="J429" s="311"/>
      <c r="K429" s="320">
        <f>IF(ISERROR(C428/C429),"",C428/C429)</f>
        <v>3.629032258064516</v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>
        <f>IF(ISERROR(C430/G423),"",C430/(G423/1000))</f>
        <v>0</v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5479.7999999999993</v>
      </c>
      <c r="D433" s="324"/>
      <c r="E433" s="311" t="s">
        <v>251</v>
      </c>
      <c r="F433" s="311"/>
      <c r="G433" s="325">
        <f>+G412+G203</f>
        <v>5619.7999999999993</v>
      </c>
      <c r="H433" s="326"/>
      <c r="I433" s="311" t="s">
        <v>252</v>
      </c>
      <c r="J433" s="311"/>
      <c r="K433" s="293">
        <f>G433-C433</f>
        <v>140</v>
      </c>
      <c r="L433" s="295"/>
      <c r="M433" s="327" t="s">
        <v>253</v>
      </c>
      <c r="N433" s="328"/>
      <c r="O433" s="321">
        <f t="array" ref="O433">IF(ISERROR(K433/C433),"",K433/C433)</f>
        <v>2.5548377678017448E-2</v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90" t="s">
        <v>260</v>
      </c>
      <c r="D436" s="190" t="s">
        <v>261</v>
      </c>
      <c r="E436" s="190" t="s">
        <v>262</v>
      </c>
      <c r="F436" s="190" t="s">
        <v>263</v>
      </c>
      <c r="G436" s="190" t="s">
        <v>264</v>
      </c>
      <c r="H436" s="205" t="s">
        <v>265</v>
      </c>
      <c r="I436" s="205" t="s">
        <v>266</v>
      </c>
      <c r="J436" s="205" t="s">
        <v>267</v>
      </c>
      <c r="K436" s="205" t="s">
        <v>268</v>
      </c>
      <c r="L436" s="205" t="s">
        <v>269</v>
      </c>
      <c r="M436" s="205" t="s">
        <v>270</v>
      </c>
      <c r="N436" s="205" t="s">
        <v>271</v>
      </c>
      <c r="O436" s="205" t="s">
        <v>272</v>
      </c>
      <c r="P436" s="193" t="s">
        <v>273</v>
      </c>
      <c r="Q436" s="205" t="s">
        <v>274</v>
      </c>
      <c r="R436" s="200" t="s">
        <v>189</v>
      </c>
      <c r="S436" s="190" t="s">
        <v>275</v>
      </c>
      <c r="T436" s="202" t="s">
        <v>276</v>
      </c>
      <c r="U436" s="19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3</v>
      </c>
      <c r="D437" s="209">
        <v>3</v>
      </c>
      <c r="E437" s="190"/>
      <c r="F437" s="190"/>
      <c r="G437" s="190"/>
      <c r="H437" s="205"/>
      <c r="I437" s="205"/>
      <c r="J437" s="83">
        <f t="shared" ref="J437:J452" si="63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3</v>
      </c>
      <c r="R437" s="200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5</v>
      </c>
      <c r="D438" s="209">
        <v>5</v>
      </c>
      <c r="E438" s="190"/>
      <c r="F438" s="190"/>
      <c r="G438" s="190"/>
      <c r="H438" s="205"/>
      <c r="I438" s="205"/>
      <c r="J438" s="83">
        <f t="shared" si="63"/>
        <v>5</v>
      </c>
      <c r="K438" s="67"/>
      <c r="L438" s="67"/>
      <c r="M438" s="67"/>
      <c r="N438" s="67"/>
      <c r="O438" s="67"/>
      <c r="P438" s="118"/>
      <c r="Q438" s="83">
        <f t="shared" si="64"/>
        <v>5</v>
      </c>
      <c r="R438" s="200">
        <f t="shared" ref="R438:R443" si="65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3</v>
      </c>
      <c r="D439" s="209">
        <v>3</v>
      </c>
      <c r="E439" s="190"/>
      <c r="F439" s="190"/>
      <c r="G439" s="190"/>
      <c r="H439" s="205"/>
      <c r="I439" s="205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20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11</v>
      </c>
      <c r="D440" s="209">
        <v>12</v>
      </c>
      <c r="E440" s="190"/>
      <c r="F440" s="190"/>
      <c r="G440" s="190"/>
      <c r="H440" s="205"/>
      <c r="I440" s="205">
        <v>7</v>
      </c>
      <c r="J440" s="83">
        <f t="shared" si="63"/>
        <v>4</v>
      </c>
      <c r="K440" s="67">
        <v>1</v>
      </c>
      <c r="L440" s="67"/>
      <c r="M440" s="67"/>
      <c r="N440" s="67"/>
      <c r="O440" s="67"/>
      <c r="P440" s="118">
        <v>1</v>
      </c>
      <c r="Q440" s="83">
        <f t="shared" si="64"/>
        <v>3</v>
      </c>
      <c r="R440" s="200">
        <f t="shared" si="65"/>
        <v>33</v>
      </c>
      <c r="S440" s="101">
        <f t="array" ref="S440">IF(ISERROR(Q440/J440),"",Q440/J440)</f>
        <v>0.75</v>
      </c>
      <c r="T440" s="119">
        <f t="array" ref="T440">IF(ISERROR((O440:P440)/C440),"",SUM(O440:P440)/C440)</f>
        <v>9.0909090909090912E-2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209">
        <v>0</v>
      </c>
      <c r="E441" s="190"/>
      <c r="F441" s="190"/>
      <c r="G441" s="190"/>
      <c r="H441" s="205"/>
      <c r="I441" s="205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20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2</v>
      </c>
      <c r="D442" s="209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20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24</v>
      </c>
      <c r="D443" s="68">
        <f>SUM(D437:D442)</f>
        <v>25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7</v>
      </c>
      <c r="J443" s="84">
        <f t="shared" si="63"/>
        <v>17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1</v>
      </c>
      <c r="Q443" s="83">
        <f t="shared" si="64"/>
        <v>16</v>
      </c>
      <c r="R443" s="200">
        <f t="shared" si="65"/>
        <v>176</v>
      </c>
      <c r="S443" s="120">
        <f t="array" ref="S443">IF(ISERROR(Q443/J443),"",Q443/J443)</f>
        <v>0.94117647058823528</v>
      </c>
      <c r="T443" s="121">
        <f t="array" ref="T443">IF(ISERROR((O443:P443)/C443),"",SUM(O443:P443)/C443)</f>
        <v>4.1666666666666664E-2</v>
      </c>
      <c r="U443" s="101">
        <f t="array" ref="U443">IF(ISERROR((O443:P443)/C443),"",SUM(O443:P443)/C443)</f>
        <v>4.1666666666666664E-2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3"/>
        <v>3</v>
      </c>
      <c r="K444" s="67"/>
      <c r="L444" s="67"/>
      <c r="M444" s="67"/>
      <c r="N444" s="67"/>
      <c r="O444" s="67"/>
      <c r="P444" s="67"/>
      <c r="Q444" s="83">
        <f t="shared" si="64"/>
        <v>3</v>
      </c>
      <c r="R444" s="200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2</v>
      </c>
      <c r="D445" s="209">
        <v>2</v>
      </c>
      <c r="E445" s="67"/>
      <c r="F445" s="67"/>
      <c r="G445" s="67"/>
      <c r="H445" s="67"/>
      <c r="I445" s="67"/>
      <c r="J445" s="83">
        <f t="shared" si="63"/>
        <v>2</v>
      </c>
      <c r="K445" s="67"/>
      <c r="L445" s="67"/>
      <c r="M445" s="67"/>
      <c r="N445" s="67"/>
      <c r="O445" s="67"/>
      <c r="P445" s="67"/>
      <c r="Q445" s="83">
        <f t="shared" si="64"/>
        <v>2</v>
      </c>
      <c r="R445" s="200">
        <f t="shared" ref="R445:R450" si="68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3</v>
      </c>
      <c r="D446" s="209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20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15</v>
      </c>
      <c r="D447" s="209">
        <v>15</v>
      </c>
      <c r="E447" s="67"/>
      <c r="F447" s="67"/>
      <c r="G447" s="67"/>
      <c r="H447" s="67"/>
      <c r="I447" s="67">
        <f>2+4</f>
        <v>6</v>
      </c>
      <c r="J447" s="83">
        <f t="shared" si="63"/>
        <v>9</v>
      </c>
      <c r="K447" s="67"/>
      <c r="L447" s="67"/>
      <c r="M447" s="67"/>
      <c r="N447" s="67"/>
      <c r="O447" s="67"/>
      <c r="P447" s="67"/>
      <c r="Q447" s="83">
        <f t="shared" si="64"/>
        <v>9</v>
      </c>
      <c r="R447" s="200">
        <f t="shared" si="68"/>
        <v>103.5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1</v>
      </c>
      <c r="D448" s="209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20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2</v>
      </c>
      <c r="D449" s="209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20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27</v>
      </c>
      <c r="D450" s="69">
        <f t="shared" ref="D450:I450" si="69">SUM(D444:D449)</f>
        <v>27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7</v>
      </c>
      <c r="J450" s="85">
        <f t="shared" si="63"/>
        <v>20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20</v>
      </c>
      <c r="R450" s="200">
        <f t="shared" si="68"/>
        <v>230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2</v>
      </c>
      <c r="D451" s="190">
        <v>2</v>
      </c>
      <c r="E451" s="190"/>
      <c r="F451" s="190"/>
      <c r="G451" s="190"/>
      <c r="H451" s="205"/>
      <c r="I451" s="83"/>
      <c r="J451" s="83">
        <f t="shared" si="63"/>
        <v>2</v>
      </c>
      <c r="K451" s="205"/>
      <c r="L451" s="205"/>
      <c r="M451" s="205"/>
      <c r="N451" s="205"/>
      <c r="O451" s="205"/>
      <c r="P451" s="193"/>
      <c r="Q451" s="83">
        <f t="shared" si="64"/>
        <v>2</v>
      </c>
      <c r="R451" s="20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53</v>
      </c>
      <c r="D452" s="69">
        <f>+D451+D450+D443</f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14</v>
      </c>
      <c r="J452" s="85">
        <f t="shared" si="63"/>
        <v>39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1</v>
      </c>
      <c r="Q452" s="83">
        <f t="shared" si="64"/>
        <v>38</v>
      </c>
      <c r="R452" s="67">
        <f>R443+R450+R451</f>
        <v>428</v>
      </c>
      <c r="S452" s="123">
        <f t="array" ref="S452">IF(ISERROR(Q452/J452),"",Q452/J452)</f>
        <v>0.97435897435897434</v>
      </c>
      <c r="T452" s="189">
        <f t="array" ref="T452">IF(ISERROR((O452:P452)/C452),"",SUM(O452:P452)/C452)</f>
        <v>1.8867924528301886E-2</v>
      </c>
      <c r="U452" s="101">
        <f t="array" ref="U452">IF(ISERROR((O452:P452)/C452),"",SUM(O452:P452)/C452)</f>
        <v>1.8867924528301886E-2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24"/>
  <dimension ref="A1:AC454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A439" sqref="A439:B43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>
        <v>2501</v>
      </c>
      <c r="C6" s="239" t="s">
        <v>34</v>
      </c>
      <c r="D6" s="239"/>
      <c r="E6" s="180" t="s">
        <v>35</v>
      </c>
      <c r="F6" s="13"/>
      <c r="G6" s="208">
        <f>+I6</f>
        <v>0.66666666666666674</v>
      </c>
      <c r="H6" s="208"/>
      <c r="I6" s="208">
        <f>1-(200/600)</f>
        <v>0.66666666666666674</v>
      </c>
      <c r="J6" s="110">
        <v>200</v>
      </c>
      <c r="K6" s="178">
        <f t="shared" ref="K6:K76" si="0">G6*M6</f>
        <v>422.40000000000003</v>
      </c>
      <c r="L6" s="178">
        <f t="shared" ref="L6:L76" si="1">I6*M6</f>
        <v>422.40000000000003</v>
      </c>
      <c r="M6" s="178">
        <v>633.6</v>
      </c>
      <c r="N6" s="178">
        <f>+M6*1000/(28.3*10*40*60)*T6</f>
        <v>4.6643109540636036</v>
      </c>
      <c r="O6" s="178">
        <v>0.5</v>
      </c>
      <c r="P6" s="178">
        <f t="shared" ref="P6:P76" si="2">N6*I6+O6*U6</f>
        <v>4.1095406360424027</v>
      </c>
      <c r="Q6" s="178">
        <v>1.5</v>
      </c>
      <c r="R6" s="19">
        <f t="shared" ref="R6:R76" si="3">Q6*U6</f>
        <v>3</v>
      </c>
      <c r="S6" s="178">
        <f t="shared" ref="S6:S76" si="4">R6-P6</f>
        <v>-1.1095406360424027</v>
      </c>
      <c r="T6" s="20">
        <v>5</v>
      </c>
      <c r="U6" s="20">
        <v>2</v>
      </c>
      <c r="V6" s="175">
        <f t="array" ref="V6">IF(ISERROR(L6/K6),"",L6/K6)</f>
        <v>1</v>
      </c>
      <c r="W6" s="20"/>
      <c r="X6" s="167"/>
      <c r="Y6" s="167"/>
      <c r="Z6" s="179"/>
      <c r="AA6" s="20">
        <v>1</v>
      </c>
      <c r="AB6" s="20"/>
      <c r="AC6" s="20"/>
    </row>
    <row r="7" spans="1:29" ht="21.95" hidden="1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208"/>
      <c r="H7" s="208"/>
      <c r="I7" s="208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>
        <v>2501</v>
      </c>
      <c r="C8" s="239" t="s">
        <v>34</v>
      </c>
      <c r="D8" s="239"/>
      <c r="E8" s="180" t="s">
        <v>37</v>
      </c>
      <c r="F8" s="13"/>
      <c r="G8" s="208">
        <v>4</v>
      </c>
      <c r="H8" s="208"/>
      <c r="I8" s="208">
        <v>4</v>
      </c>
      <c r="J8" s="110"/>
      <c r="K8" s="178">
        <f t="shared" si="0"/>
        <v>2534.4</v>
      </c>
      <c r="L8" s="178">
        <f t="shared" si="1"/>
        <v>2534.4</v>
      </c>
      <c r="M8" s="178">
        <v>633.6</v>
      </c>
      <c r="N8" s="178">
        <f t="shared" si="5"/>
        <v>4.6643109540636036</v>
      </c>
      <c r="O8" s="178"/>
      <c r="P8" s="178">
        <f t="shared" si="2"/>
        <v>18.657243816254415</v>
      </c>
      <c r="Q8" s="178">
        <v>8</v>
      </c>
      <c r="R8" s="19">
        <f t="shared" si="3"/>
        <v>16</v>
      </c>
      <c r="S8" s="178">
        <f t="shared" si="4"/>
        <v>-2.6572438162544145</v>
      </c>
      <c r="T8" s="20">
        <v>5</v>
      </c>
      <c r="U8" s="20">
        <v>2</v>
      </c>
      <c r="V8" s="175">
        <f t="array" ref="V8">IF(ISERROR(L8/K8),"",L8/K8)</f>
        <v>1</v>
      </c>
      <c r="W8" s="20"/>
      <c r="X8" s="167"/>
      <c r="Y8" s="167"/>
      <c r="Z8" s="179"/>
      <c r="AA8" s="20"/>
      <c r="AB8" s="20"/>
      <c r="AC8" s="20"/>
    </row>
    <row r="9" spans="1:29" ht="21.95" hidden="1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208"/>
      <c r="H9" s="208"/>
      <c r="I9" s="208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hidden="1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208"/>
      <c r="H10" s="208"/>
      <c r="I10" s="208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hidden="1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208"/>
      <c r="H11" s="208"/>
      <c r="I11" s="208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hidden="1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208"/>
      <c r="H12" s="208"/>
      <c r="I12" s="208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hidden="1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208"/>
      <c r="H13" s="208"/>
      <c r="I13" s="208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hidden="1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208"/>
      <c r="H14" s="208"/>
      <c r="I14" s="208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hidden="1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208"/>
      <c r="H15" s="208"/>
      <c r="I15" s="208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hidden="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208"/>
      <c r="H16" s="208"/>
      <c r="I16" s="208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208"/>
      <c r="H17" s="208"/>
      <c r="I17" s="208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208"/>
      <c r="H18" s="208"/>
      <c r="I18" s="208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208"/>
      <c r="H19" s="208"/>
      <c r="I19" s="208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74"/>
      <c r="B20" s="167"/>
      <c r="C20" s="226" t="s">
        <v>46</v>
      </c>
      <c r="D20" s="226"/>
      <c r="E20" s="180" t="s">
        <v>47</v>
      </c>
      <c r="F20" s="13"/>
      <c r="G20" s="208"/>
      <c r="H20" s="208"/>
      <c r="I20" s="208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208"/>
      <c r="H21" s="208"/>
      <c r="I21" s="208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208"/>
      <c r="H22" s="208"/>
      <c r="I22" s="208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208"/>
      <c r="H23" s="208"/>
      <c r="I23" s="208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208"/>
      <c r="H24" s="208"/>
      <c r="I24" s="208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>
        <v>3004</v>
      </c>
      <c r="C25" s="226" t="s">
        <v>51</v>
      </c>
      <c r="D25" s="226"/>
      <c r="E25" s="180" t="s">
        <v>40</v>
      </c>
      <c r="F25" s="13"/>
      <c r="G25" s="208">
        <v>8</v>
      </c>
      <c r="H25" s="208"/>
      <c r="I25" s="208">
        <v>8</v>
      </c>
      <c r="J25" s="110"/>
      <c r="K25" s="178">
        <f t="shared" si="0"/>
        <v>4196.8</v>
      </c>
      <c r="L25" s="178">
        <f t="shared" si="1"/>
        <v>4196.8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27.538057742782151</v>
      </c>
      <c r="Q25" s="178">
        <v>8</v>
      </c>
      <c r="R25" s="19">
        <f t="shared" si="3"/>
        <v>16</v>
      </c>
      <c r="S25" s="178">
        <f t="shared" si="4"/>
        <v>-11.538057742782151</v>
      </c>
      <c r="T25" s="20">
        <v>3</v>
      </c>
      <c r="U25" s="20">
        <v>2</v>
      </c>
      <c r="V25" s="175">
        <f t="array" ref="V25">IF(ISERROR(L25/K25),"",L25/K25)</f>
        <v>1</v>
      </c>
      <c r="W25" s="20"/>
      <c r="X25" s="20"/>
      <c r="Y25" s="20"/>
      <c r="Z25" s="20"/>
      <c r="AA25" s="20">
        <v>0.5</v>
      </c>
      <c r="AB25" s="20"/>
      <c r="AC25" s="20"/>
    </row>
    <row r="26" spans="1:29" ht="21.95" hidden="1" customHeight="1">
      <c r="A26" s="174">
        <v>300012</v>
      </c>
      <c r="B26" s="167">
        <v>3004</v>
      </c>
      <c r="C26" s="226" t="s">
        <v>51</v>
      </c>
      <c r="D26" s="226"/>
      <c r="E26" s="180" t="s">
        <v>41</v>
      </c>
      <c r="F26" s="13"/>
      <c r="G26" s="208"/>
      <c r="H26" s="208"/>
      <c r="I26" s="208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208"/>
      <c r="H27" s="208"/>
      <c r="I27" s="208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>
        <v>3004</v>
      </c>
      <c r="C28" s="226" t="s">
        <v>51</v>
      </c>
      <c r="D28" s="226"/>
      <c r="E28" s="180" t="s">
        <v>38</v>
      </c>
      <c r="F28" s="13"/>
      <c r="G28" s="208">
        <f>+I28</f>
        <v>2.8</v>
      </c>
      <c r="H28" s="208"/>
      <c r="I28" s="208">
        <f>3-(100/500)</f>
        <v>2.8</v>
      </c>
      <c r="J28" s="110">
        <v>100</v>
      </c>
      <c r="K28" s="178">
        <f t="shared" si="0"/>
        <v>1468.8799999999999</v>
      </c>
      <c r="L28" s="178">
        <f t="shared" si="1"/>
        <v>1468.8799999999999</v>
      </c>
      <c r="M28" s="178">
        <v>524.6</v>
      </c>
      <c r="N28" s="178">
        <f>+M28*1000/(25.4*20*15*60)*T28</f>
        <v>3.4422572178477688</v>
      </c>
      <c r="O28" s="178">
        <v>0.5</v>
      </c>
      <c r="P28" s="178">
        <f t="shared" si="2"/>
        <v>10.638320209973752</v>
      </c>
      <c r="Q28" s="178">
        <v>2</v>
      </c>
      <c r="R28" s="19">
        <f t="shared" si="3"/>
        <v>4</v>
      </c>
      <c r="S28" s="178">
        <f t="shared" si="4"/>
        <v>-6.6383202099737524</v>
      </c>
      <c r="T28" s="20">
        <v>3</v>
      </c>
      <c r="U28" s="20">
        <v>2</v>
      </c>
      <c r="V28" s="175">
        <f t="array" ref="V28">IF(ISERROR(L28/K28),"",L28/K28)</f>
        <v>1</v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212"/>
      <c r="H29" s="212"/>
      <c r="I29" s="212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208"/>
      <c r="H30" s="208"/>
      <c r="I30" s="208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208"/>
      <c r="H31" s="208"/>
      <c r="I31" s="208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208"/>
      <c r="H32" s="208"/>
      <c r="I32" s="208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208"/>
      <c r="H33" s="208"/>
      <c r="I33" s="208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208"/>
      <c r="H34" s="208"/>
      <c r="I34" s="208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208"/>
      <c r="H35" s="208"/>
      <c r="I35" s="208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208"/>
      <c r="H36" s="208"/>
      <c r="I36" s="208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208"/>
      <c r="H37" s="208"/>
      <c r="I37" s="208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208"/>
      <c r="H38" s="208"/>
      <c r="I38" s="208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208"/>
      <c r="H39" s="208"/>
      <c r="I39" s="208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208"/>
      <c r="H40" s="208"/>
      <c r="I40" s="208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208"/>
      <c r="H41" s="208"/>
      <c r="I41" s="208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208"/>
      <c r="H42" s="208"/>
      <c r="I42" s="208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208"/>
      <c r="H43" s="208"/>
      <c r="I43" s="208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208"/>
      <c r="H44" s="208"/>
      <c r="I44" s="208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208"/>
      <c r="H45" s="208"/>
      <c r="I45" s="208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33"/>
      <c r="H46" s="133"/>
      <c r="I46" s="133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33"/>
      <c r="H47" s="133"/>
      <c r="I47" s="133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33"/>
      <c r="H48" s="133"/>
      <c r="I48" s="133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33"/>
      <c r="H49" s="133"/>
      <c r="I49" s="133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208"/>
      <c r="H50" s="208"/>
      <c r="I50" s="208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208"/>
      <c r="H51" s="208"/>
      <c r="I51" s="208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208"/>
      <c r="H52" s="208"/>
      <c r="I52" s="208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208"/>
      <c r="H53" s="208"/>
      <c r="I53" s="208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208"/>
      <c r="H54" s="208"/>
      <c r="I54" s="208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208"/>
      <c r="H55" s="208"/>
      <c r="I55" s="208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208"/>
      <c r="H56" s="208"/>
      <c r="I56" s="208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212"/>
      <c r="H57" s="212"/>
      <c r="I57" s="212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208"/>
      <c r="H58" s="208"/>
      <c r="I58" s="208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208"/>
      <c r="H59" s="208"/>
      <c r="I59" s="208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208"/>
      <c r="H60" s="208"/>
      <c r="I60" s="208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208"/>
      <c r="H61" s="208"/>
      <c r="I61" s="208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208"/>
      <c r="H62" s="208"/>
      <c r="I62" s="208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208"/>
      <c r="H63" s="208"/>
      <c r="I63" s="208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208"/>
      <c r="H64" s="208"/>
      <c r="I64" s="208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208"/>
      <c r="H65" s="208"/>
      <c r="I65" s="208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208"/>
      <c r="H66" s="208"/>
      <c r="I66" s="208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208"/>
      <c r="H67" s="208"/>
      <c r="I67" s="208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208"/>
      <c r="H68" s="208"/>
      <c r="I68" s="208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208"/>
      <c r="H69" s="208"/>
      <c r="I69" s="208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208"/>
      <c r="H70" s="208"/>
      <c r="I70" s="208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208"/>
      <c r="H71" s="208"/>
      <c r="I71" s="208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208"/>
      <c r="H72" s="208"/>
      <c r="I72" s="208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208"/>
      <c r="H73" s="208"/>
      <c r="I73" s="208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213"/>
      <c r="H74" s="213"/>
      <c r="I74" s="213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208"/>
      <c r="H75" s="208"/>
      <c r="I75" s="208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208"/>
      <c r="H76" s="208"/>
      <c r="I76" s="208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208"/>
      <c r="H77" s="208"/>
      <c r="I77" s="208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208"/>
      <c r="H78" s="208"/>
      <c r="I78" s="208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208"/>
      <c r="H79" s="208"/>
      <c r="I79" s="208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208"/>
      <c r="H80" s="208"/>
      <c r="I80" s="208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208"/>
      <c r="H81" s="208"/>
      <c r="I81" s="208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208"/>
      <c r="H82" s="208"/>
      <c r="I82" s="208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212"/>
      <c r="H83" s="212"/>
      <c r="I83" s="212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208"/>
      <c r="H84" s="208"/>
      <c r="I84" s="208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208"/>
      <c r="H85" s="208"/>
      <c r="I85" s="208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208"/>
      <c r="H86" s="208"/>
      <c r="I86" s="208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208"/>
      <c r="H87" s="208"/>
      <c r="I87" s="208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208"/>
      <c r="H88" s="208"/>
      <c r="I88" s="208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208"/>
      <c r="H89" s="208"/>
      <c r="I89" s="208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208"/>
      <c r="H90" s="208"/>
      <c r="I90" s="208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208"/>
      <c r="H91" s="208"/>
      <c r="I91" s="208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208"/>
      <c r="H92" s="208"/>
      <c r="I92" s="208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208"/>
      <c r="H93" s="208"/>
      <c r="I93" s="208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208"/>
      <c r="H94" s="208"/>
      <c r="I94" s="208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208"/>
      <c r="H95" s="208"/>
      <c r="I95" s="208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208"/>
      <c r="H96" s="208"/>
      <c r="I96" s="208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213"/>
      <c r="H97" s="213"/>
      <c r="I97" s="213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>
        <v>5001</v>
      </c>
      <c r="C98" s="226" t="s">
        <v>110</v>
      </c>
      <c r="D98" s="226" t="s">
        <v>111</v>
      </c>
      <c r="E98" s="180" t="s">
        <v>39</v>
      </c>
      <c r="F98" s="13"/>
      <c r="G98" s="208">
        <v>3</v>
      </c>
      <c r="H98" s="208">
        <f>260/600</f>
        <v>0.43333333333333335</v>
      </c>
      <c r="I98" s="208">
        <f>2+H98</f>
        <v>2.4333333333333336</v>
      </c>
      <c r="J98" s="110"/>
      <c r="K98" s="178">
        <f t="shared" si="7"/>
        <v>1853.3999999999999</v>
      </c>
      <c r="L98" s="178">
        <f t="shared" si="8"/>
        <v>1503.3133333333333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7.6387872628726283</v>
      </c>
      <c r="Q98" s="178">
        <v>2.5</v>
      </c>
      <c r="R98" s="19">
        <f t="shared" si="10"/>
        <v>10</v>
      </c>
      <c r="S98" s="178">
        <f t="shared" si="11"/>
        <v>2.3612127371273717</v>
      </c>
      <c r="T98" s="20">
        <v>3</v>
      </c>
      <c r="U98" s="20">
        <v>4</v>
      </c>
      <c r="V98" s="175">
        <f t="array" ref="V98">IF(ISERROR(L98/K98),"",L98/K98)</f>
        <v>0.81111111111111112</v>
      </c>
      <c r="W98" s="20"/>
      <c r="X98" s="20"/>
      <c r="Y98" s="20"/>
      <c r="Z98" s="20"/>
      <c r="AA98" s="20">
        <v>0.5</v>
      </c>
      <c r="AB98" s="20"/>
      <c r="AC98" s="20"/>
    </row>
    <row r="99" spans="1:29" ht="21.95" hidden="1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208"/>
      <c r="H99" s="208"/>
      <c r="I99" s="208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>
        <v>5001</v>
      </c>
      <c r="C100" s="226" t="s">
        <v>112</v>
      </c>
      <c r="D100" s="226" t="s">
        <v>113</v>
      </c>
      <c r="E100" s="180" t="s">
        <v>35</v>
      </c>
      <c r="F100" s="13"/>
      <c r="G100" s="208">
        <v>4</v>
      </c>
      <c r="H100" s="208"/>
      <c r="I100" s="208">
        <f>4-(50/600)</f>
        <v>3.9166666666666665</v>
      </c>
      <c r="J100" s="110">
        <v>50</v>
      </c>
      <c r="K100" s="178">
        <f t="shared" si="7"/>
        <v>2485.1999999999998</v>
      </c>
      <c r="L100" s="178">
        <f t="shared" si="8"/>
        <v>2433.4249999999997</v>
      </c>
      <c r="M100" s="178">
        <v>621.29999999999995</v>
      </c>
      <c r="N100" s="178">
        <f t="shared" ref="N100:N105" si="12">+M100*1000/(130.5*1*80*60)*T100</f>
        <v>3.9674329501915708</v>
      </c>
      <c r="O100" s="178">
        <v>0.5</v>
      </c>
      <c r="P100" s="178">
        <f t="shared" si="9"/>
        <v>17.539112388250317</v>
      </c>
      <c r="Q100" s="178">
        <v>3.5</v>
      </c>
      <c r="R100" s="19">
        <f t="shared" si="10"/>
        <v>14</v>
      </c>
      <c r="S100" s="178">
        <f t="shared" si="11"/>
        <v>-3.5391123882503166</v>
      </c>
      <c r="T100" s="20">
        <v>4</v>
      </c>
      <c r="U100" s="20">
        <v>4</v>
      </c>
      <c r="V100" s="175">
        <f t="array" ref="V100">IF(ISERROR(L100/K100),"",L100/K100)</f>
        <v>0.97916666666666663</v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208"/>
      <c r="H101" s="208"/>
      <c r="I101" s="208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>
        <v>5001</v>
      </c>
      <c r="C102" s="226" t="s">
        <v>112</v>
      </c>
      <c r="D102" s="226" t="s">
        <v>113</v>
      </c>
      <c r="E102" s="180" t="s">
        <v>37</v>
      </c>
      <c r="F102" s="13"/>
      <c r="G102" s="208">
        <v>4</v>
      </c>
      <c r="H102" s="208"/>
      <c r="I102" s="208">
        <v>4</v>
      </c>
      <c r="J102" s="110"/>
      <c r="K102" s="178">
        <f t="shared" si="7"/>
        <v>2485.1999999999998</v>
      </c>
      <c r="L102" s="178">
        <f t="shared" si="8"/>
        <v>2485.1999999999998</v>
      </c>
      <c r="M102" s="178">
        <v>621.29999999999995</v>
      </c>
      <c r="N102" s="178">
        <f t="shared" si="12"/>
        <v>3.9674329501915708</v>
      </c>
      <c r="O102" s="178">
        <v>0.5</v>
      </c>
      <c r="P102" s="178">
        <f t="shared" si="9"/>
        <v>17.869731800766282</v>
      </c>
      <c r="Q102" s="178">
        <v>3.5</v>
      </c>
      <c r="R102" s="19">
        <f t="shared" si="10"/>
        <v>14</v>
      </c>
      <c r="S102" s="178">
        <f t="shared" si="11"/>
        <v>-3.8697318007662815</v>
      </c>
      <c r="T102" s="20">
        <v>4</v>
      </c>
      <c r="U102" s="20">
        <v>4</v>
      </c>
      <c r="V102" s="175">
        <f t="array" ref="V102">IF(ISERROR(L102/K102),"",L102/K102)</f>
        <v>1</v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>
        <v>13002</v>
      </c>
      <c r="C193" s="226" t="s">
        <v>312</v>
      </c>
      <c r="D193" s="226" t="s">
        <v>89</v>
      </c>
      <c r="E193" s="180" t="s">
        <v>41</v>
      </c>
      <c r="F193" s="13"/>
      <c r="G193" s="208">
        <f>+H193</f>
        <v>0.33333333333333331</v>
      </c>
      <c r="H193" s="208">
        <f>100/300</f>
        <v>0.33333333333333331</v>
      </c>
      <c r="I193" s="208">
        <f>+H193</f>
        <v>0.33333333333333331</v>
      </c>
      <c r="J193" s="110"/>
      <c r="K193" s="178">
        <f>G193*M193</f>
        <v>112.2</v>
      </c>
      <c r="L193" s="178">
        <f>I193*M193</f>
        <v>112.2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0.46172839506172836</v>
      </c>
      <c r="Q193" s="178">
        <v>1</v>
      </c>
      <c r="R193" s="19">
        <f>Q193*U193</f>
        <v>2</v>
      </c>
      <c r="S193" s="178">
        <f>R193-P193</f>
        <v>1.5382716049382716</v>
      </c>
      <c r="T193" s="20">
        <v>2</v>
      </c>
      <c r="U193" s="20">
        <v>2</v>
      </c>
      <c r="V193" s="207">
        <f t="array" ref="V193">IF(ISERROR(L193/K193),"",L193/K193)</f>
        <v>1</v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26.8</v>
      </c>
      <c r="H199" s="178">
        <f t="array" ref="H199">SUM(IF(ISERROR(H6:H198),“”,H6:H198))</f>
        <v>0.76666666666666661</v>
      </c>
      <c r="I199" s="178">
        <f t="array" ref="I199">SUM(IF(ISERROR(I6:I198),“”,I6:I198))</f>
        <v>26.150000000000002</v>
      </c>
      <c r="J199" s="178">
        <f t="array" ref="J199">SUM(IF(ISERROR(J6:J198),“”,J6:J198))</f>
        <v>350</v>
      </c>
      <c r="K199" s="178">
        <f t="array" ref="K199">SUM(IF(ISERROR(K6:K198),“”,K6:K198))</f>
        <v>15558.48</v>
      </c>
      <c r="L199" s="56">
        <f>SUM(L6:L198)</f>
        <v>15156.618333333332</v>
      </c>
      <c r="M199" s="178"/>
      <c r="N199" s="178"/>
      <c r="O199" s="178">
        <f>SUM(O6:O190)</f>
        <v>2</v>
      </c>
      <c r="P199" s="56">
        <f>SUM((P6:P190),(W204:X209))</f>
        <v>202.99079385694193</v>
      </c>
      <c r="Q199" s="178"/>
      <c r="R199" s="56">
        <f>SUM((R6:R190),(Y204:Z209))</f>
        <v>165</v>
      </c>
      <c r="S199" s="178">
        <f t="array" ref="S199">SUM(IF(ISERROR(S6:S198),“”,S6:S198))</f>
        <v>-25.452522252003678</v>
      </c>
      <c r="T199" s="178"/>
      <c r="U199" s="178"/>
      <c r="V199" s="175">
        <f>IF(ISERROR(L199/K199),"",L199/K199)</f>
        <v>0.97417089158666736</v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2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>
        <f>IF(ISERROR(P199/R199),"",P199/R199)</f>
        <v>1.2302472354966179</v>
      </c>
      <c r="P200" s="252"/>
      <c r="Q200" s="252"/>
      <c r="R200" s="253"/>
      <c r="S200" s="44"/>
      <c r="T200" s="45"/>
      <c r="U200" s="45"/>
      <c r="V200" s="45"/>
      <c r="W200" s="254">
        <f>SUM(W199:AC199)</f>
        <v>2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>
        <v>0</v>
      </c>
      <c r="F202" s="257"/>
      <c r="G202" s="257">
        <v>0</v>
      </c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>
        <v>3052.4</v>
      </c>
      <c r="F203" s="257"/>
      <c r="G203" s="257">
        <v>3052.4</v>
      </c>
      <c r="H203" s="257"/>
      <c r="I203" s="257">
        <f>G203-E203</f>
        <v>0</v>
      </c>
      <c r="J203" s="257"/>
      <c r="K203" s="259">
        <f t="array" ref="K203">IF(ISERROR(I203/E203),"",I203/E203)</f>
        <v>0</v>
      </c>
      <c r="L203" s="259"/>
      <c r="M203" s="244"/>
      <c r="N203" s="245"/>
      <c r="O203" s="260"/>
      <c r="P203" s="260"/>
      <c r="Q203" s="261" t="s">
        <v>193</v>
      </c>
      <c r="R203" s="261"/>
      <c r="S203" s="262">
        <v>8</v>
      </c>
      <c r="T203" s="262"/>
      <c r="U203" s="262">
        <f>2+4+2</f>
        <v>8</v>
      </c>
      <c r="V203" s="262"/>
      <c r="W203" s="261">
        <f t="shared" ref="W203:W210" si="28">S203*11</f>
        <v>88</v>
      </c>
      <c r="X203" s="261"/>
      <c r="Y203" s="261">
        <f t="shared" ref="Y203:Y210" si="29">U203*11</f>
        <v>88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>
        <v>0</v>
      </c>
      <c r="F204" s="257"/>
      <c r="G204" s="257">
        <v>0</v>
      </c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>
        <v>2</v>
      </c>
      <c r="T204" s="262"/>
      <c r="U204" s="262">
        <v>3</v>
      </c>
      <c r="V204" s="262"/>
      <c r="W204" s="261">
        <f t="shared" si="28"/>
        <v>22</v>
      </c>
      <c r="X204" s="261"/>
      <c r="Y204" s="261">
        <f t="shared" si="29"/>
        <v>33</v>
      </c>
      <c r="Z204" s="261"/>
      <c r="AA204" s="261">
        <f t="shared" si="30"/>
        <v>11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336">
        <v>0.75</v>
      </c>
      <c r="T205" s="337"/>
      <c r="U205" s="262">
        <v>1</v>
      </c>
      <c r="V205" s="262"/>
      <c r="W205" s="261">
        <f t="shared" si="28"/>
        <v>8.25</v>
      </c>
      <c r="X205" s="261"/>
      <c r="Y205" s="261">
        <f t="shared" si="29"/>
        <v>11</v>
      </c>
      <c r="Z205" s="261"/>
      <c r="AA205" s="261">
        <f t="shared" si="30"/>
        <v>2.75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>
        <v>147296</v>
      </c>
      <c r="H206" s="264"/>
      <c r="I206" s="302">
        <v>147242</v>
      </c>
      <c r="J206" s="302"/>
      <c r="K206" s="267">
        <f>G206-I206</f>
        <v>54</v>
      </c>
      <c r="L206" s="267"/>
      <c r="M206" s="268">
        <f t="array" ref="M206">IF(ISERROR(K206/L199),"",K206/(L199/1000))</f>
        <v>3.5628000133275113</v>
      </c>
      <c r="N206" s="268"/>
      <c r="O206" s="260"/>
      <c r="P206" s="260"/>
      <c r="Q206" s="261" t="s">
        <v>205</v>
      </c>
      <c r="R206" s="261"/>
      <c r="S206" s="336">
        <v>0.75</v>
      </c>
      <c r="T206" s="337"/>
      <c r="U206" s="262">
        <v>1</v>
      </c>
      <c r="V206" s="262"/>
      <c r="W206" s="261">
        <f t="shared" si="28"/>
        <v>8.25</v>
      </c>
      <c r="X206" s="261"/>
      <c r="Y206" s="261">
        <f t="shared" si="29"/>
        <v>11</v>
      </c>
      <c r="Z206" s="261"/>
      <c r="AA206" s="261">
        <f t="shared" si="30"/>
        <v>2.75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>
        <f>28368.7*120+44554.4*60</f>
        <v>6077508</v>
      </c>
      <c r="H207" s="264"/>
      <c r="I207" s="302">
        <f>28362.8*120+44546.4*60</f>
        <v>6076320</v>
      </c>
      <c r="J207" s="302"/>
      <c r="K207" s="267">
        <f>G207-I207</f>
        <v>1188</v>
      </c>
      <c r="L207" s="267"/>
      <c r="M207" s="268">
        <f t="array" ref="M207">IF(ISERROR(K207/L199),"",K207/(L199/1000))</f>
        <v>78.381600293205253</v>
      </c>
      <c r="N207" s="268"/>
      <c r="O207" s="260"/>
      <c r="P207" s="260"/>
      <c r="Q207" s="261" t="s">
        <v>208</v>
      </c>
      <c r="R207" s="261"/>
      <c r="S207" s="336">
        <v>1.5</v>
      </c>
      <c r="T207" s="337"/>
      <c r="U207" s="262">
        <v>0</v>
      </c>
      <c r="V207" s="262"/>
      <c r="W207" s="261">
        <f t="shared" si="28"/>
        <v>16.5</v>
      </c>
      <c r="X207" s="261"/>
      <c r="Y207" s="261">
        <f t="shared" si="29"/>
        <v>0</v>
      </c>
      <c r="Z207" s="261"/>
      <c r="AA207" s="261">
        <f t="shared" si="30"/>
        <v>-16.5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>
        <f>27616+6+3</f>
        <v>27625</v>
      </c>
      <c r="H208" s="264"/>
      <c r="I208" s="302">
        <f>27608+8</f>
        <v>27616</v>
      </c>
      <c r="J208" s="302"/>
      <c r="K208" s="267">
        <f>G208-I208</f>
        <v>9</v>
      </c>
      <c r="L208" s="267"/>
      <c r="M208" s="271">
        <f t="array" ref="M208">IF(ISERROR(K208/L199),"",K208/(L199/1000))</f>
        <v>0.59380000222125184</v>
      </c>
      <c r="N208" s="271"/>
      <c r="O208" s="260"/>
      <c r="P208" s="260"/>
      <c r="Q208" s="261" t="s">
        <v>211</v>
      </c>
      <c r="R208" s="261"/>
      <c r="S208" s="336">
        <v>1</v>
      </c>
      <c r="T208" s="337"/>
      <c r="U208" s="262">
        <v>1</v>
      </c>
      <c r="V208" s="262"/>
      <c r="W208" s="261">
        <f t="shared" si="28"/>
        <v>11</v>
      </c>
      <c r="X208" s="261"/>
      <c r="Y208" s="261">
        <f t="shared" si="29"/>
        <v>11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>
        <f>1.44+1.12/2</f>
        <v>2</v>
      </c>
      <c r="L209" s="270"/>
      <c r="M209" s="272">
        <f t="array" ref="M209">IF(ISERROR((K209+K210)/L199),"",((K209+K210)*1000)/(L199/1000))</f>
        <v>131.95555604916709</v>
      </c>
      <c r="N209" s="273"/>
      <c r="O209" s="260"/>
      <c r="P209" s="260"/>
      <c r="Q209" s="261" t="s">
        <v>214</v>
      </c>
      <c r="R209" s="261"/>
      <c r="S209" s="336">
        <v>3</v>
      </c>
      <c r="T209" s="337"/>
      <c r="U209" s="262">
        <v>2</v>
      </c>
      <c r="V209" s="262"/>
      <c r="W209" s="261">
        <f t="shared" si="28"/>
        <v>33</v>
      </c>
      <c r="X209" s="261"/>
      <c r="Y209" s="261">
        <f t="shared" si="29"/>
        <v>22</v>
      </c>
      <c r="Z209" s="261"/>
      <c r="AA209" s="261">
        <f t="shared" si="30"/>
        <v>-11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17</v>
      </c>
      <c r="T210" s="262"/>
      <c r="U210" s="262">
        <f>SUM(U203:V209)</f>
        <v>16</v>
      </c>
      <c r="V210" s="262"/>
      <c r="W210" s="261">
        <f t="shared" si="28"/>
        <v>187</v>
      </c>
      <c r="X210" s="261"/>
      <c r="Y210" s="261">
        <f t="shared" si="29"/>
        <v>176</v>
      </c>
      <c r="Z210" s="261"/>
      <c r="AA210" s="261">
        <f t="shared" si="30"/>
        <v>-11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>
        <f>IF(ISERROR(K208/K209),"",K208/K209)</f>
        <v>4.5</v>
      </c>
      <c r="N211" s="281"/>
      <c r="O211" s="260"/>
      <c r="P211" s="260"/>
      <c r="Q211" s="258" t="s">
        <v>219</v>
      </c>
      <c r="R211" s="258"/>
      <c r="S211" s="282">
        <f t="array" ref="S211">IF(ISERROR(L199/Y210),"",L199/Y210)</f>
        <v>86.117149621212107</v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>
        <v>2503</v>
      </c>
      <c r="C215" s="239" t="s">
        <v>34</v>
      </c>
      <c r="D215" s="239"/>
      <c r="E215" s="180" t="s">
        <v>35</v>
      </c>
      <c r="F215" s="13"/>
      <c r="G215" s="178">
        <f>+I215</f>
        <v>3.3333333333333335</v>
      </c>
      <c r="H215" s="178">
        <f>200/600</f>
        <v>0.33333333333333331</v>
      </c>
      <c r="I215" s="178">
        <f>3+H215</f>
        <v>3.3333333333333335</v>
      </c>
      <c r="J215" s="178"/>
      <c r="K215" s="178">
        <f t="shared" ref="K215:K285" si="31">G215*M215</f>
        <v>2112</v>
      </c>
      <c r="L215" s="178">
        <f t="shared" ref="L215:L285" si="32">I215*M215</f>
        <v>2112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15.547703180212013</v>
      </c>
      <c r="Q215" s="178">
        <v>5.5</v>
      </c>
      <c r="R215" s="19">
        <f t="shared" ref="R215:R285" si="35">Q215*U215</f>
        <v>16.5</v>
      </c>
      <c r="S215" s="178">
        <f t="shared" ref="S215:S285" si="36">R215-P215</f>
        <v>0.9522968197879873</v>
      </c>
      <c r="T215" s="20">
        <v>5</v>
      </c>
      <c r="U215" s="20">
        <v>3</v>
      </c>
      <c r="V215" s="175">
        <f t="array" ref="V215">IF(ISERROR(L215/K215),"",L215/K215)</f>
        <v>1</v>
      </c>
      <c r="W215" s="20"/>
      <c r="X215" s="167"/>
      <c r="Y215" s="167"/>
      <c r="Z215" s="179"/>
      <c r="AA215" s="20">
        <v>0.5</v>
      </c>
      <c r="AB215" s="20"/>
      <c r="AC215" s="20"/>
    </row>
    <row r="216" spans="1:29" s="2" customFormat="1" ht="21.95" hidden="1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hidden="1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hidden="1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hidden="1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>
        <v>2503</v>
      </c>
      <c r="C220" s="292" t="s">
        <v>34</v>
      </c>
      <c r="D220" s="292"/>
      <c r="E220" s="48" t="s">
        <v>40</v>
      </c>
      <c r="F220" s="179"/>
      <c r="G220" s="178">
        <v>3</v>
      </c>
      <c r="H220" s="178"/>
      <c r="I220" s="178">
        <f>2+(300/600)-(200/600)</f>
        <v>2.1666666666666665</v>
      </c>
      <c r="J220" s="178">
        <v>200</v>
      </c>
      <c r="K220" s="178">
        <f t="shared" si="31"/>
        <v>1848</v>
      </c>
      <c r="L220" s="178">
        <f t="shared" si="32"/>
        <v>1334.6666666666665</v>
      </c>
      <c r="M220" s="178">
        <v>616</v>
      </c>
      <c r="N220" s="178">
        <f t="shared" si="33"/>
        <v>3.6277974087161367</v>
      </c>
      <c r="O220" s="178">
        <v>0.5</v>
      </c>
      <c r="P220" s="178">
        <f t="shared" si="34"/>
        <v>9.3602277188849623</v>
      </c>
      <c r="Q220" s="178">
        <v>4</v>
      </c>
      <c r="R220" s="19">
        <f t="shared" si="35"/>
        <v>12</v>
      </c>
      <c r="S220" s="178">
        <f t="shared" si="36"/>
        <v>2.6397722811150377</v>
      </c>
      <c r="T220" s="20">
        <v>4</v>
      </c>
      <c r="U220" s="20">
        <v>3</v>
      </c>
      <c r="V220" s="207">
        <f t="array" ref="V220">IF(ISERROR(L220/K220),"",L220/K220)</f>
        <v>0.7222222222222221</v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hidden="1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hidden="1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hidden="1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hidden="1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hidden="1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>
        <v>3004</v>
      </c>
      <c r="C235" s="226" t="s">
        <v>51</v>
      </c>
      <c r="D235" s="226"/>
      <c r="E235" s="180" t="s">
        <v>41</v>
      </c>
      <c r="F235" s="179"/>
      <c r="G235" s="178">
        <v>5</v>
      </c>
      <c r="H235" s="178"/>
      <c r="I235" s="178">
        <v>5</v>
      </c>
      <c r="J235" s="178"/>
      <c r="K235" s="178">
        <f t="shared" si="31"/>
        <v>2623</v>
      </c>
      <c r="L235" s="178">
        <f t="shared" si="32"/>
        <v>2623</v>
      </c>
      <c r="M235" s="178">
        <v>524.6</v>
      </c>
      <c r="N235" s="178">
        <f>+M235*1000/(25.4*20*15*60)*T235</f>
        <v>3.4422572178477688</v>
      </c>
      <c r="O235" s="178">
        <v>0.5</v>
      </c>
      <c r="P235" s="178">
        <f t="shared" si="34"/>
        <v>18.711286089238843</v>
      </c>
      <c r="Q235" s="178">
        <v>5</v>
      </c>
      <c r="R235" s="19">
        <f t="shared" si="35"/>
        <v>15</v>
      </c>
      <c r="S235" s="178">
        <f t="shared" si="36"/>
        <v>-3.7112860892388433</v>
      </c>
      <c r="T235" s="20">
        <v>3</v>
      </c>
      <c r="U235" s="20">
        <v>3</v>
      </c>
      <c r="V235" s="175">
        <f t="array" ref="V235">IF(ISERROR(L235/K235),"",L235/K235)</f>
        <v>1</v>
      </c>
      <c r="W235" s="20"/>
      <c r="X235" s="20"/>
      <c r="Y235" s="20"/>
      <c r="Z235" s="20"/>
      <c r="AA235" s="20">
        <v>1.5</v>
      </c>
      <c r="AB235" s="20"/>
      <c r="AC235" s="20"/>
    </row>
    <row r="236" spans="1:29" s="2" customFormat="1" ht="21.95" hidden="1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>
        <v>3004</v>
      </c>
      <c r="C237" s="226" t="s">
        <v>51</v>
      </c>
      <c r="D237" s="226"/>
      <c r="E237" s="180" t="s">
        <v>38</v>
      </c>
      <c r="F237" s="179"/>
      <c r="G237" s="178">
        <f>+I237</f>
        <v>4.2</v>
      </c>
      <c r="H237" s="178">
        <f>100/500</f>
        <v>0.2</v>
      </c>
      <c r="I237" s="178">
        <f>4+H237</f>
        <v>4.2</v>
      </c>
      <c r="J237" s="178"/>
      <c r="K237" s="178">
        <f t="shared" si="31"/>
        <v>2203.3200000000002</v>
      </c>
      <c r="L237" s="178">
        <f t="shared" si="32"/>
        <v>2203.3200000000002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14.45748031496063</v>
      </c>
      <c r="Q237" s="178">
        <v>3</v>
      </c>
      <c r="R237" s="19">
        <f t="shared" si="35"/>
        <v>9</v>
      </c>
      <c r="S237" s="178">
        <f t="shared" si="36"/>
        <v>-5.4574803149606304</v>
      </c>
      <c r="T237" s="20">
        <v>3</v>
      </c>
      <c r="U237" s="20">
        <v>3</v>
      </c>
      <c r="V237" s="175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3004</v>
      </c>
      <c r="C247" s="237" t="s">
        <v>304</v>
      </c>
      <c r="D247" s="238"/>
      <c r="E247" s="180" t="s">
        <v>302</v>
      </c>
      <c r="F247" s="13"/>
      <c r="G247" s="208">
        <f>+I247</f>
        <v>0.30000000000000004</v>
      </c>
      <c r="H247" s="110"/>
      <c r="I247" s="208">
        <f>1-(350/500)</f>
        <v>0.30000000000000004</v>
      </c>
      <c r="J247" s="110">
        <v>350</v>
      </c>
      <c r="K247" s="178">
        <f t="shared" si="31"/>
        <v>158.64000000000001</v>
      </c>
      <c r="L247" s="178">
        <f t="shared" si="32"/>
        <v>158.64000000000001</v>
      </c>
      <c r="M247" s="178">
        <v>528.79999999999995</v>
      </c>
      <c r="N247" s="178">
        <f>+M247*1000/(31*10*13*60)*T247</f>
        <v>6.5607940446650126</v>
      </c>
      <c r="O247" s="178">
        <v>0.5</v>
      </c>
      <c r="P247" s="178">
        <f t="shared" si="34"/>
        <v>3.4682382133995038</v>
      </c>
      <c r="Q247" s="178">
        <v>1</v>
      </c>
      <c r="R247" s="19">
        <f t="shared" si="35"/>
        <v>3</v>
      </c>
      <c r="S247" s="178">
        <f t="shared" si="36"/>
        <v>-0.46823821339950378</v>
      </c>
      <c r="T247" s="20">
        <v>3</v>
      </c>
      <c r="U247" s="20">
        <v>3</v>
      </c>
      <c r="V247" s="207">
        <f t="array" ref="V247">IF(ISERROR(L247/K247),"",L247/K247)</f>
        <v>1</v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>
        <v>5001</v>
      </c>
      <c r="C283" s="237" t="s">
        <v>90</v>
      </c>
      <c r="D283" s="238"/>
      <c r="E283" s="180" t="s">
        <v>35</v>
      </c>
      <c r="F283" s="179"/>
      <c r="G283" s="178">
        <v>3</v>
      </c>
      <c r="H283" s="178"/>
      <c r="I283" s="178">
        <v>3</v>
      </c>
      <c r="J283" s="178"/>
      <c r="K283" s="178">
        <f t="shared" si="31"/>
        <v>1288.1999999999998</v>
      </c>
      <c r="L283" s="178">
        <f t="shared" si="32"/>
        <v>1288.1999999999998</v>
      </c>
      <c r="M283" s="178">
        <v>429.4</v>
      </c>
      <c r="N283" s="178">
        <f>+M283*1000/(47*1*110*60)*T283</f>
        <v>5.5370728562217923</v>
      </c>
      <c r="O283" s="178">
        <v>0.5</v>
      </c>
      <c r="P283" s="178">
        <f t="shared" si="34"/>
        <v>18.611218568665379</v>
      </c>
      <c r="Q283" s="178">
        <v>2.5</v>
      </c>
      <c r="R283" s="19">
        <f t="shared" si="35"/>
        <v>10</v>
      </c>
      <c r="S283" s="178">
        <f t="shared" si="36"/>
        <v>-8.6112185686653788</v>
      </c>
      <c r="T283" s="20">
        <v>4</v>
      </c>
      <c r="U283" s="20">
        <v>4</v>
      </c>
      <c r="V283" s="175">
        <f t="array" ref="V283">IF(ISERROR(L283/K283),"",L283/K283)</f>
        <v>1</v>
      </c>
      <c r="W283" s="20"/>
      <c r="X283" s="20"/>
      <c r="Y283" s="20"/>
      <c r="Z283" s="20"/>
      <c r="AA283" s="20">
        <v>1.5</v>
      </c>
      <c r="AB283" s="20"/>
      <c r="AC283" s="20"/>
    </row>
    <row r="284" spans="1:29" s="2" customFormat="1" ht="21.95" hidden="1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5001</v>
      </c>
      <c r="C286" s="226" t="s">
        <v>95</v>
      </c>
      <c r="D286" s="226" t="s">
        <v>96</v>
      </c>
      <c r="E286" s="180" t="s">
        <v>35</v>
      </c>
      <c r="F286" s="179"/>
      <c r="G286" s="178">
        <v>3</v>
      </c>
      <c r="H286" s="178"/>
      <c r="I286" s="178">
        <v>3</v>
      </c>
      <c r="J286" s="178"/>
      <c r="K286" s="178">
        <f t="shared" ref="K286:K362" si="38">G286*M286</f>
        <v>1257.5999999999999</v>
      </c>
      <c r="L286" s="178">
        <f t="shared" ref="L286:L362" si="39">I286*M286</f>
        <v>1257.5999999999999</v>
      </c>
      <c r="M286" s="178">
        <v>419.2</v>
      </c>
      <c r="N286" s="178">
        <f>+M286*1000/(51.9*1*110*60)*T286</f>
        <v>4.8951947217843168</v>
      </c>
      <c r="O286" s="178">
        <v>0.5</v>
      </c>
      <c r="P286" s="178">
        <f t="shared" ref="P286:P362" si="40">N286*I286+O286*U286</f>
        <v>16.68558416535295</v>
      </c>
      <c r="Q286" s="178">
        <v>2.5</v>
      </c>
      <c r="R286" s="19">
        <f t="shared" ref="R286:R362" si="41">Q286*U286</f>
        <v>10</v>
      </c>
      <c r="S286" s="178">
        <f t="shared" ref="S286:S362" si="42">R286-P286</f>
        <v>-6.6855841653529495</v>
      </c>
      <c r="T286" s="20">
        <v>4</v>
      </c>
      <c r="U286" s="20">
        <v>4</v>
      </c>
      <c r="V286" s="175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>
        <v>5001</v>
      </c>
      <c r="C309" s="226" t="s">
        <v>112</v>
      </c>
      <c r="D309" s="226" t="s">
        <v>113</v>
      </c>
      <c r="E309" s="180" t="s">
        <v>35</v>
      </c>
      <c r="F309" s="179"/>
      <c r="G309" s="178">
        <f>+H309</f>
        <v>8.3333333333333329E-2</v>
      </c>
      <c r="H309" s="178">
        <f>50/600</f>
        <v>8.3333333333333329E-2</v>
      </c>
      <c r="I309" s="178">
        <f>+H309</f>
        <v>8.3333333333333329E-2</v>
      </c>
      <c r="J309" s="178"/>
      <c r="K309" s="178">
        <f t="shared" si="38"/>
        <v>51.774999999999991</v>
      </c>
      <c r="L309" s="178">
        <f t="shared" si="39"/>
        <v>51.774999999999991</v>
      </c>
      <c r="M309" s="178">
        <v>621.29999999999995</v>
      </c>
      <c r="N309" s="178">
        <f t="shared" ref="N309:N314" si="43">+M309*1000/(130.5*1*80*60)*T309</f>
        <v>3.9674329501915708</v>
      </c>
      <c r="O309" s="178">
        <v>0.5</v>
      </c>
      <c r="P309" s="178">
        <f t="shared" si="40"/>
        <v>2.3306194125159641</v>
      </c>
      <c r="Q309" s="178">
        <v>1</v>
      </c>
      <c r="R309" s="19">
        <f t="shared" si="41"/>
        <v>4</v>
      </c>
      <c r="S309" s="178">
        <f t="shared" si="42"/>
        <v>1.6693805874840359</v>
      </c>
      <c r="T309" s="20">
        <v>4</v>
      </c>
      <c r="U309" s="20">
        <v>4</v>
      </c>
      <c r="V309" s="175">
        <f t="array" ref="V309">IF(ISERROR(L309/K309),"",L309/K309)</f>
        <v>1</v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>
        <v>5001</v>
      </c>
      <c r="C310" s="226" t="s">
        <v>112</v>
      </c>
      <c r="D310" s="226" t="s">
        <v>113</v>
      </c>
      <c r="E310" s="180" t="s">
        <v>41</v>
      </c>
      <c r="F310" s="179"/>
      <c r="G310" s="178">
        <v>3</v>
      </c>
      <c r="H310" s="178"/>
      <c r="I310" s="178">
        <v>3</v>
      </c>
      <c r="J310" s="178"/>
      <c r="K310" s="178">
        <f t="shared" si="38"/>
        <v>1863.8999999999999</v>
      </c>
      <c r="L310" s="178">
        <f t="shared" si="39"/>
        <v>1863.8999999999999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11.902298850574713</v>
      </c>
      <c r="Q310" s="178">
        <v>3</v>
      </c>
      <c r="R310" s="19">
        <f t="shared" si="41"/>
        <v>12</v>
      </c>
      <c r="S310" s="178">
        <f t="shared" si="42"/>
        <v>9.770114942528707E-2</v>
      </c>
      <c r="T310" s="20">
        <v>4</v>
      </c>
      <c r="U310" s="20">
        <v>4</v>
      </c>
      <c r="V310" s="175">
        <f t="array" ref="V310">IF(ISERROR(L310/K310),"",L310/K310)</f>
        <v>1</v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24.916666666666668</v>
      </c>
      <c r="H408" s="178">
        <f t="array" ref="H408">SUM(IF(ISERROR(H215:H407),“”,H215:H407))</f>
        <v>0.6166666666666667</v>
      </c>
      <c r="I408" s="178">
        <f t="array" ref="I408">SUM(IF(ISERROR(I215:I407),“”,I215:I407))</f>
        <v>24.083333333333332</v>
      </c>
      <c r="J408" s="178">
        <f t="array" ref="J408">SUM(IF(ISERROR(J215:J407),“”,J215:J407))</f>
        <v>550</v>
      </c>
      <c r="K408" s="178">
        <f t="array" ref="K408">SUM(IF(ISERROR(K215:K407),“”,K215:K407))</f>
        <v>13406.434999999999</v>
      </c>
      <c r="L408" s="117">
        <f>SUM(L215:L399)</f>
        <v>12893.101666666664</v>
      </c>
      <c r="M408" s="178"/>
      <c r="N408" s="178"/>
      <c r="O408" s="178">
        <f t="array" ref="O408">SUM(IF(ISERROR(O215:O407),“”,O215:O407))</f>
        <v>3</v>
      </c>
      <c r="P408" s="56">
        <f>SUM((P215:P399),(W413:X418))</f>
        <v>214.57465651380494</v>
      </c>
      <c r="Q408" s="178"/>
      <c r="R408" s="56">
        <f>SUM((R215:R399),(Y413:Z418))</f>
        <v>160.5</v>
      </c>
      <c r="S408" s="178">
        <f t="array" ref="S408">SUM(IF(ISERROR(S215:S407),“”,S215:S407))</f>
        <v>-19.574656513804957</v>
      </c>
      <c r="T408" s="178"/>
      <c r="U408" s="178"/>
      <c r="V408" s="175">
        <f t="array" ref="V408">IF(ISERROR(L408/K408),"",L408/K408)</f>
        <v>0.96170993009451533</v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3.5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>
        <f t="array" ref="O409">IF(ISERROR(P408/R408),"",P408/R408)</f>
        <v>1.3369137477495634</v>
      </c>
      <c r="P409" s="252"/>
      <c r="Q409" s="252"/>
      <c r="R409" s="253"/>
      <c r="S409" s="44"/>
      <c r="T409" s="45"/>
      <c r="U409" s="45"/>
      <c r="V409" s="45"/>
      <c r="W409" s="254">
        <f>SUM(W408:AC408)</f>
        <v>3.5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>
        <v>0</v>
      </c>
      <c r="F411" s="257"/>
      <c r="G411" s="257">
        <v>0</v>
      </c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>
        <v>2530.6</v>
      </c>
      <c r="F412" s="257"/>
      <c r="G412" s="257">
        <v>2530.6</v>
      </c>
      <c r="H412" s="257"/>
      <c r="I412" s="257">
        <f>G412-E412</f>
        <v>0</v>
      </c>
      <c r="J412" s="257"/>
      <c r="K412" s="259">
        <f t="array" ref="K412">IF(ISERROR(I412/E412),"",I412/E412)</f>
        <v>0</v>
      </c>
      <c r="L412" s="259"/>
      <c r="M412" s="244"/>
      <c r="N412" s="245"/>
      <c r="O412" s="299"/>
      <c r="P412" s="299"/>
      <c r="Q412" s="261" t="s">
        <v>193</v>
      </c>
      <c r="R412" s="261"/>
      <c r="S412" s="262">
        <v>8</v>
      </c>
      <c r="T412" s="262"/>
      <c r="U412" s="262">
        <f>3+4+3</f>
        <v>10</v>
      </c>
      <c r="V412" s="262"/>
      <c r="W412" s="261">
        <f>S412*11.5</f>
        <v>92</v>
      </c>
      <c r="X412" s="261"/>
      <c r="Y412" s="261">
        <f>U412*11.5</f>
        <v>115</v>
      </c>
      <c r="Z412" s="261"/>
      <c r="AA412" s="261">
        <f t="shared" ref="AA412:AA419" si="59">Y412-W412</f>
        <v>23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>
        <v>0</v>
      </c>
      <c r="F413" s="257"/>
      <c r="G413" s="257">
        <v>0</v>
      </c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>
        <v>2</v>
      </c>
      <c r="T413" s="262"/>
      <c r="U413" s="262">
        <v>3</v>
      </c>
      <c r="V413" s="262"/>
      <c r="W413" s="261">
        <f t="shared" ref="W413:W418" si="60">S413*11.5</f>
        <v>23</v>
      </c>
      <c r="X413" s="261"/>
      <c r="Y413" s="261">
        <f t="shared" ref="Y413:Y418" si="61">U413*11.5</f>
        <v>34.5</v>
      </c>
      <c r="Z413" s="261"/>
      <c r="AA413" s="261">
        <f t="shared" si="59"/>
        <v>11.5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336">
        <v>0.75</v>
      </c>
      <c r="T414" s="337"/>
      <c r="U414" s="262">
        <v>0</v>
      </c>
      <c r="V414" s="262"/>
      <c r="W414" s="261">
        <f t="shared" si="60"/>
        <v>8.625</v>
      </c>
      <c r="X414" s="261"/>
      <c r="Y414" s="261">
        <f t="shared" si="61"/>
        <v>0</v>
      </c>
      <c r="Z414" s="261"/>
      <c r="AA414" s="261">
        <f t="shared" si="59"/>
        <v>-8.625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>
        <v>147345</v>
      </c>
      <c r="H415" s="302"/>
      <c r="I415" s="263">
        <v>147296</v>
      </c>
      <c r="J415" s="264"/>
      <c r="K415" s="267">
        <f>G415-I415</f>
        <v>49</v>
      </c>
      <c r="L415" s="267"/>
      <c r="M415" s="268">
        <f t="array" ref="M415">IF(ISERROR(K415/L408),"",K415/(L408/1000))</f>
        <v>3.8004819373047174</v>
      </c>
      <c r="N415" s="268"/>
      <c r="O415" s="299"/>
      <c r="P415" s="299"/>
      <c r="Q415" s="261" t="s">
        <v>205</v>
      </c>
      <c r="R415" s="261"/>
      <c r="S415" s="336">
        <v>0.75</v>
      </c>
      <c r="T415" s="337"/>
      <c r="U415" s="262">
        <v>0</v>
      </c>
      <c r="V415" s="262"/>
      <c r="W415" s="261">
        <f t="shared" si="60"/>
        <v>8.625</v>
      </c>
      <c r="X415" s="261"/>
      <c r="Y415" s="261">
        <f t="shared" si="61"/>
        <v>0</v>
      </c>
      <c r="Z415" s="261"/>
      <c r="AA415" s="261">
        <f t="shared" si="59"/>
        <v>-8.625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>
        <f>28374.4*120+44562.2*60</f>
        <v>6078660</v>
      </c>
      <c r="H416" s="301"/>
      <c r="I416" s="263">
        <f>28368.7*120+44554.4*60</f>
        <v>6077508</v>
      </c>
      <c r="J416" s="264"/>
      <c r="K416" s="267">
        <f>G416-I416</f>
        <v>1152</v>
      </c>
      <c r="L416" s="267"/>
      <c r="M416" s="268">
        <f t="array" ref="M416">IF(ISERROR(K416/L408),"",K416/(L408/1000))</f>
        <v>89.350105954592536</v>
      </c>
      <c r="N416" s="268"/>
      <c r="O416" s="299"/>
      <c r="P416" s="299"/>
      <c r="Q416" s="261" t="s">
        <v>208</v>
      </c>
      <c r="R416" s="261"/>
      <c r="S416" s="336">
        <v>1.5</v>
      </c>
      <c r="T416" s="337"/>
      <c r="U416" s="262">
        <v>0</v>
      </c>
      <c r="V416" s="262"/>
      <c r="W416" s="261">
        <f t="shared" si="60"/>
        <v>17.25</v>
      </c>
      <c r="X416" s="261"/>
      <c r="Y416" s="261">
        <f t="shared" si="61"/>
        <v>0</v>
      </c>
      <c r="Z416" s="261"/>
      <c r="AA416" s="261">
        <f t="shared" si="59"/>
        <v>-17.25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>
        <f>27625+2+4</f>
        <v>27631</v>
      </c>
      <c r="H417" s="302"/>
      <c r="I417" s="263">
        <f>27616+6+3</f>
        <v>27625</v>
      </c>
      <c r="J417" s="264"/>
      <c r="K417" s="267">
        <f>G417-I417</f>
        <v>6</v>
      </c>
      <c r="L417" s="267"/>
      <c r="M417" s="271">
        <f t="array" ref="M417">IF(ISERROR(K417/L408),"",K417/(L408/1000))</f>
        <v>0.46536513518016948</v>
      </c>
      <c r="N417" s="271"/>
      <c r="O417" s="299"/>
      <c r="P417" s="299"/>
      <c r="Q417" s="261" t="s">
        <v>211</v>
      </c>
      <c r="R417" s="261"/>
      <c r="S417" s="336">
        <v>1</v>
      </c>
      <c r="T417" s="337"/>
      <c r="U417" s="262">
        <v>1</v>
      </c>
      <c r="V417" s="262"/>
      <c r="W417" s="261">
        <f t="shared" si="60"/>
        <v>11.5</v>
      </c>
      <c r="X417" s="261"/>
      <c r="Y417" s="261">
        <f t="shared" si="61"/>
        <v>11.5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>
        <f>0.96+1.12/2</f>
        <v>1.52</v>
      </c>
      <c r="L418" s="279"/>
      <c r="M418" s="272">
        <f t="array" ref="M418">IF(ISERROR((K418+K419)/L408),"",((K418+K419)*1000)/(L408/1000))</f>
        <v>117.8925009123096</v>
      </c>
      <c r="N418" s="273"/>
      <c r="O418" s="299"/>
      <c r="P418" s="299"/>
      <c r="Q418" s="261" t="s">
        <v>214</v>
      </c>
      <c r="R418" s="261"/>
      <c r="S418" s="336">
        <v>3</v>
      </c>
      <c r="T418" s="337"/>
      <c r="U418" s="262">
        <v>2</v>
      </c>
      <c r="V418" s="262"/>
      <c r="W418" s="261">
        <f t="shared" si="60"/>
        <v>34.5</v>
      </c>
      <c r="X418" s="261"/>
      <c r="Y418" s="261">
        <f t="shared" si="61"/>
        <v>23</v>
      </c>
      <c r="Z418" s="261"/>
      <c r="AA418" s="261">
        <f t="shared" si="59"/>
        <v>-11.5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17</v>
      </c>
      <c r="T419" s="262"/>
      <c r="U419" s="262">
        <f>SUM(U412:V418)</f>
        <v>16</v>
      </c>
      <c r="V419" s="262"/>
      <c r="W419" s="261">
        <f t="shared" ref="W419" si="62">S419*11</f>
        <v>187</v>
      </c>
      <c r="X419" s="261"/>
      <c r="Y419" s="261">
        <f t="shared" ref="Y419" si="63">U419*11</f>
        <v>176</v>
      </c>
      <c r="Z419" s="261"/>
      <c r="AA419" s="261">
        <f t="shared" si="59"/>
        <v>-11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>
        <f>IF(ISERROR(K417/K418),"",K417/K418)</f>
        <v>3.9473684210526314</v>
      </c>
      <c r="N420" s="281"/>
      <c r="O420" s="299"/>
      <c r="P420" s="299"/>
      <c r="Q420" s="258" t="s">
        <v>219</v>
      </c>
      <c r="R420" s="258"/>
      <c r="S420" s="308">
        <f t="array" ref="S420">IF(ISERROR(L408/Y419),"",L408/Y419)</f>
        <v>73.256259469696957</v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28964.915000000001</v>
      </c>
      <c r="D423" s="315"/>
      <c r="E423" s="311" t="s">
        <v>226</v>
      </c>
      <c r="F423" s="311"/>
      <c r="G423" s="311">
        <f>L199+L408</f>
        <v>28049.719999999994</v>
      </c>
      <c r="H423" s="311"/>
      <c r="I423" s="318" t="s">
        <v>227</v>
      </c>
      <c r="J423" s="318"/>
      <c r="K423" s="317">
        <f>IF(ISERROR(G423/C423),"",G423/C423)</f>
        <v>0.96840332519532657</v>
      </c>
      <c r="L423" s="317"/>
      <c r="M423" s="311" t="s">
        <v>228</v>
      </c>
      <c r="N423" s="311"/>
      <c r="O423" s="312">
        <f>IF(ISERROR(G423/G424),"",G423/G424)</f>
        <v>86.17425499231949</v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417.56545037074687</v>
      </c>
      <c r="D424" s="315"/>
      <c r="E424" s="316" t="s">
        <v>18</v>
      </c>
      <c r="F424" s="316"/>
      <c r="G424" s="311">
        <f>R199+R408</f>
        <v>325.5</v>
      </c>
      <c r="H424" s="311"/>
      <c r="I424" s="291" t="s">
        <v>176</v>
      </c>
      <c r="J424" s="291"/>
      <c r="K424" s="317">
        <f>IF(ISERROR(C424/G424),"",C424/G424)</f>
        <v>1.2828431655015264</v>
      </c>
      <c r="L424" s="317"/>
      <c r="M424" s="257" t="s">
        <v>230</v>
      </c>
      <c r="N424" s="257"/>
      <c r="O424" s="311">
        <f>W200+W409</f>
        <v>5.5</v>
      </c>
      <c r="P424" s="257"/>
      <c r="Q424" s="257" t="s">
        <v>231</v>
      </c>
      <c r="R424" s="257"/>
      <c r="S424" s="317">
        <f t="array" ref="S424">IF(ISERROR(O424/G424),"",O424/G424)</f>
        <v>1.6897081413210446E-2</v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103</v>
      </c>
      <c r="D426" s="315"/>
      <c r="E426" s="311" t="s">
        <v>234</v>
      </c>
      <c r="F426" s="311"/>
      <c r="G426" s="271">
        <f t="array" ref="G426">IF(ISERROR(C426/G423),"",C426/(G423/1000))</f>
        <v>3.672050915303255</v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2340</v>
      </c>
      <c r="D427" s="315"/>
      <c r="E427" s="311" t="s">
        <v>236</v>
      </c>
      <c r="F427" s="311"/>
      <c r="G427" s="271">
        <f>IF(ISERROR(C427/G423),"",C427/(G423/1000))</f>
        <v>83.423292638928316</v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15</v>
      </c>
      <c r="D428" s="315"/>
      <c r="E428" s="311" t="s">
        <v>238</v>
      </c>
      <c r="F428" s="311"/>
      <c r="G428" s="271">
        <f>IF(ISERROR(C428/G423),"",C428/(G423/1000))</f>
        <v>0.53476469640338664</v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3.52</v>
      </c>
      <c r="D429" s="315"/>
      <c r="E429" s="311" t="s">
        <v>240</v>
      </c>
      <c r="F429" s="311"/>
      <c r="G429" s="319">
        <f>IF(ISERROR(C429/G423),"",C429/(G423/1000))</f>
        <v>0.12549144875599474</v>
      </c>
      <c r="H429" s="319"/>
      <c r="I429" s="311" t="s">
        <v>241</v>
      </c>
      <c r="J429" s="311"/>
      <c r="K429" s="320">
        <f>IF(ISERROR(C428/C429),"",C428/C429)</f>
        <v>4.2613636363636367</v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>
        <f>IF(ISERROR(C430/G423),"",C430/(G423/1000))</f>
        <v>0</v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5583</v>
      </c>
      <c r="D433" s="324"/>
      <c r="E433" s="311" t="s">
        <v>251</v>
      </c>
      <c r="F433" s="311"/>
      <c r="G433" s="325">
        <f>+G412+G203</f>
        <v>5583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>
        <f t="array" ref="O433">IF(ISERROR(K433/C433),"",K433/C433)</f>
        <v>0</v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4">SUM(D437:F437)-O437-P437-G437</f>
        <v>3</v>
      </c>
      <c r="D437" s="209">
        <v>3</v>
      </c>
      <c r="E437" s="167"/>
      <c r="F437" s="167"/>
      <c r="G437" s="167"/>
      <c r="H437" s="168"/>
      <c r="I437" s="168"/>
      <c r="J437" s="83">
        <f t="shared" ref="J437:J452" si="65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6">J437-K437-L437</f>
        <v>3</v>
      </c>
      <c r="R437" s="172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4"/>
        <v>5</v>
      </c>
      <c r="D438" s="209">
        <v>5</v>
      </c>
      <c r="E438" s="167"/>
      <c r="F438" s="167"/>
      <c r="G438" s="167"/>
      <c r="H438" s="168"/>
      <c r="I438" s="168"/>
      <c r="J438" s="83">
        <f t="shared" si="65"/>
        <v>5</v>
      </c>
      <c r="K438" s="67"/>
      <c r="L438" s="67"/>
      <c r="M438" s="67"/>
      <c r="N438" s="67"/>
      <c r="O438" s="67"/>
      <c r="P438" s="118"/>
      <c r="Q438" s="83">
        <f t="shared" si="66"/>
        <v>5</v>
      </c>
      <c r="R438" s="172">
        <f t="shared" ref="R438:R443" si="67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4"/>
        <v>3</v>
      </c>
      <c r="D439" s="209">
        <v>3</v>
      </c>
      <c r="E439" s="167"/>
      <c r="F439" s="167"/>
      <c r="G439" s="167"/>
      <c r="H439" s="168"/>
      <c r="I439" s="168"/>
      <c r="J439" s="83">
        <f t="shared" si="65"/>
        <v>3</v>
      </c>
      <c r="K439" s="67"/>
      <c r="L439" s="67"/>
      <c r="M439" s="67"/>
      <c r="N439" s="67"/>
      <c r="O439" s="67"/>
      <c r="P439" s="118"/>
      <c r="Q439" s="83">
        <f t="shared" si="66"/>
        <v>3</v>
      </c>
      <c r="R439" s="172">
        <f t="shared" si="67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4"/>
        <v>11</v>
      </c>
      <c r="D440" s="209">
        <v>11</v>
      </c>
      <c r="E440" s="167"/>
      <c r="F440" s="167"/>
      <c r="G440" s="167"/>
      <c r="H440" s="168"/>
      <c r="I440" s="168">
        <v>9</v>
      </c>
      <c r="J440" s="83">
        <f t="shared" si="65"/>
        <v>2</v>
      </c>
      <c r="K440" s="67"/>
      <c r="L440" s="67"/>
      <c r="M440" s="67"/>
      <c r="N440" s="67"/>
      <c r="O440" s="67"/>
      <c r="P440" s="118"/>
      <c r="Q440" s="83">
        <f t="shared" si="66"/>
        <v>2</v>
      </c>
      <c r="R440" s="172">
        <f t="shared" si="67"/>
        <v>22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4"/>
        <v>0</v>
      </c>
      <c r="D441" s="209">
        <v>0</v>
      </c>
      <c r="E441" s="167"/>
      <c r="F441" s="167"/>
      <c r="G441" s="167"/>
      <c r="H441" s="168"/>
      <c r="I441" s="168"/>
      <c r="J441" s="83">
        <f t="shared" si="65"/>
        <v>0</v>
      </c>
      <c r="K441" s="67"/>
      <c r="L441" s="67"/>
      <c r="M441" s="67"/>
      <c r="N441" s="67"/>
      <c r="O441" s="67"/>
      <c r="P441" s="118"/>
      <c r="Q441" s="83">
        <f t="shared" si="66"/>
        <v>0</v>
      </c>
      <c r="R441" s="172">
        <f t="shared" si="6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4"/>
        <v>2</v>
      </c>
      <c r="D442" s="209">
        <v>2</v>
      </c>
      <c r="E442" s="67"/>
      <c r="F442" s="67"/>
      <c r="G442" s="67"/>
      <c r="H442" s="67"/>
      <c r="I442" s="67"/>
      <c r="J442" s="83">
        <f t="shared" si="65"/>
        <v>2</v>
      </c>
      <c r="K442" s="67"/>
      <c r="L442" s="67"/>
      <c r="M442" s="67"/>
      <c r="N442" s="67"/>
      <c r="O442" s="67"/>
      <c r="P442" s="67"/>
      <c r="Q442" s="83">
        <f t="shared" si="66"/>
        <v>2</v>
      </c>
      <c r="R442" s="172">
        <f t="shared" si="67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8">SUM(D443:F443)-O443-P443-G443</f>
        <v>24</v>
      </c>
      <c r="D443" s="68">
        <f>SUM(D437:D442)</f>
        <v>24</v>
      </c>
      <c r="E443" s="68">
        <f t="shared" ref="E443:P443" si="69">SUM(E437:E442)</f>
        <v>0</v>
      </c>
      <c r="F443" s="68">
        <f t="shared" si="69"/>
        <v>0</v>
      </c>
      <c r="G443" s="68">
        <f t="shared" si="69"/>
        <v>0</v>
      </c>
      <c r="H443" s="68">
        <f t="shared" si="69"/>
        <v>0</v>
      </c>
      <c r="I443" s="68">
        <f t="shared" si="69"/>
        <v>9</v>
      </c>
      <c r="J443" s="84">
        <f t="shared" si="65"/>
        <v>15</v>
      </c>
      <c r="K443" s="68">
        <f t="shared" si="69"/>
        <v>0</v>
      </c>
      <c r="L443" s="68">
        <f t="shared" si="69"/>
        <v>0</v>
      </c>
      <c r="M443" s="68">
        <f t="shared" si="69"/>
        <v>0</v>
      </c>
      <c r="N443" s="68">
        <f t="shared" si="69"/>
        <v>0</v>
      </c>
      <c r="O443" s="68">
        <f t="shared" si="69"/>
        <v>0</v>
      </c>
      <c r="P443" s="68">
        <f t="shared" si="69"/>
        <v>0</v>
      </c>
      <c r="Q443" s="83">
        <f t="shared" si="66"/>
        <v>15</v>
      </c>
      <c r="R443" s="172">
        <f t="shared" si="67"/>
        <v>165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8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5"/>
        <v>3</v>
      </c>
      <c r="K444" s="67"/>
      <c r="L444" s="67"/>
      <c r="M444" s="67"/>
      <c r="N444" s="67"/>
      <c r="O444" s="67"/>
      <c r="P444" s="67"/>
      <c r="Q444" s="83">
        <f t="shared" si="66"/>
        <v>3</v>
      </c>
      <c r="R444" s="172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8"/>
        <v>2</v>
      </c>
      <c r="D445" s="209">
        <v>2</v>
      </c>
      <c r="E445" s="67"/>
      <c r="F445" s="67"/>
      <c r="G445" s="67"/>
      <c r="H445" s="67"/>
      <c r="I445" s="67"/>
      <c r="J445" s="83">
        <f t="shared" si="65"/>
        <v>2</v>
      </c>
      <c r="K445" s="67"/>
      <c r="L445" s="67"/>
      <c r="M445" s="67"/>
      <c r="N445" s="67"/>
      <c r="O445" s="67"/>
      <c r="P445" s="67"/>
      <c r="Q445" s="83">
        <f t="shared" si="66"/>
        <v>2</v>
      </c>
      <c r="R445" s="172">
        <f t="shared" ref="R445:R450" si="70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8"/>
        <v>3</v>
      </c>
      <c r="D446" s="209">
        <v>3</v>
      </c>
      <c r="E446" s="67"/>
      <c r="F446" s="67"/>
      <c r="G446" s="67"/>
      <c r="H446" s="67"/>
      <c r="I446" s="67"/>
      <c r="J446" s="83">
        <f t="shared" si="65"/>
        <v>3</v>
      </c>
      <c r="K446" s="67"/>
      <c r="L446" s="67"/>
      <c r="M446" s="67"/>
      <c r="N446" s="67"/>
      <c r="P446" s="67"/>
      <c r="Q446" s="83">
        <f t="shared" si="66"/>
        <v>3</v>
      </c>
      <c r="R446" s="172">
        <f t="shared" si="70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8"/>
        <v>15</v>
      </c>
      <c r="D447" s="209">
        <v>15</v>
      </c>
      <c r="E447" s="67"/>
      <c r="F447" s="67"/>
      <c r="G447" s="67"/>
      <c r="H447" s="67"/>
      <c r="I447" s="67">
        <v>10</v>
      </c>
      <c r="J447" s="83">
        <f t="shared" si="65"/>
        <v>5</v>
      </c>
      <c r="K447" s="67"/>
      <c r="L447" s="67"/>
      <c r="M447" s="67"/>
      <c r="N447" s="67"/>
      <c r="O447" s="67"/>
      <c r="P447" s="67"/>
      <c r="Q447" s="83">
        <f t="shared" si="66"/>
        <v>5</v>
      </c>
      <c r="R447" s="172">
        <f t="shared" si="70"/>
        <v>57.5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8"/>
        <v>1</v>
      </c>
      <c r="D448" s="209">
        <v>1</v>
      </c>
      <c r="E448" s="67"/>
      <c r="F448" s="67"/>
      <c r="G448" s="67"/>
      <c r="H448" s="67"/>
      <c r="I448" s="67"/>
      <c r="J448" s="83">
        <f t="shared" si="65"/>
        <v>1</v>
      </c>
      <c r="K448" s="67"/>
      <c r="L448" s="67"/>
      <c r="M448" s="110"/>
      <c r="N448" s="67"/>
      <c r="O448" s="67"/>
      <c r="P448" s="67"/>
      <c r="Q448" s="83">
        <f t="shared" si="66"/>
        <v>1</v>
      </c>
      <c r="R448" s="172">
        <f t="shared" si="70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8"/>
        <v>2</v>
      </c>
      <c r="D449" s="209">
        <v>2</v>
      </c>
      <c r="E449" s="67"/>
      <c r="F449" s="67"/>
      <c r="G449" s="67"/>
      <c r="H449" s="67"/>
      <c r="I449" s="67"/>
      <c r="J449" s="83">
        <f t="shared" si="65"/>
        <v>2</v>
      </c>
      <c r="K449" s="67"/>
      <c r="L449" s="67"/>
      <c r="M449" s="67"/>
      <c r="N449" s="67"/>
      <c r="O449" s="67"/>
      <c r="P449" s="67"/>
      <c r="Q449" s="83">
        <f t="shared" si="66"/>
        <v>2</v>
      </c>
      <c r="R449" s="172">
        <f t="shared" si="70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8"/>
        <v>27</v>
      </c>
      <c r="D450" s="69">
        <f t="shared" ref="D450" si="71">SUM(D444:D449)</f>
        <v>27</v>
      </c>
      <c r="E450" s="69">
        <f t="shared" ref="E450:I450" si="72">SUM(E444:E449)</f>
        <v>0</v>
      </c>
      <c r="F450" s="69">
        <f t="shared" si="72"/>
        <v>0</v>
      </c>
      <c r="G450" s="69">
        <f t="shared" si="72"/>
        <v>0</v>
      </c>
      <c r="H450" s="69">
        <f t="shared" si="72"/>
        <v>0</v>
      </c>
      <c r="I450" s="69">
        <f t="shared" si="72"/>
        <v>11</v>
      </c>
      <c r="J450" s="85">
        <f t="shared" si="65"/>
        <v>16</v>
      </c>
      <c r="K450" s="69">
        <f t="shared" ref="K450:P450" si="73">SUM(K444:K449)</f>
        <v>0</v>
      </c>
      <c r="L450" s="69">
        <f t="shared" si="73"/>
        <v>0</v>
      </c>
      <c r="M450" s="69">
        <f t="shared" si="73"/>
        <v>0</v>
      </c>
      <c r="N450" s="69">
        <f t="shared" si="73"/>
        <v>0</v>
      </c>
      <c r="O450" s="69">
        <f t="shared" si="73"/>
        <v>0</v>
      </c>
      <c r="P450" s="69">
        <f t="shared" si="73"/>
        <v>0</v>
      </c>
      <c r="Q450" s="83">
        <f t="shared" si="66"/>
        <v>16</v>
      </c>
      <c r="R450" s="172">
        <f t="shared" si="70"/>
        <v>184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8"/>
        <v>2</v>
      </c>
      <c r="D451" s="206">
        <v>2</v>
      </c>
      <c r="E451" s="167"/>
      <c r="F451" s="167"/>
      <c r="G451" s="167"/>
      <c r="H451" s="168"/>
      <c r="I451" s="83"/>
      <c r="J451" s="83">
        <f t="shared" si="65"/>
        <v>2</v>
      </c>
      <c r="K451" s="168"/>
      <c r="L451" s="168"/>
      <c r="M451" s="168"/>
      <c r="N451" s="168"/>
      <c r="O451" s="168"/>
      <c r="P451" s="183"/>
      <c r="Q451" s="83">
        <f t="shared" si="66"/>
        <v>2</v>
      </c>
      <c r="R451" s="172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8"/>
        <v>53</v>
      </c>
      <c r="D452" s="69">
        <f>+D451+D450+D443</f>
        <v>53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20</v>
      </c>
      <c r="J452" s="85">
        <f t="shared" si="65"/>
        <v>33</v>
      </c>
      <c r="K452" s="69">
        <f t="shared" ref="K452:P452" si="74">+K443+K450+K451</f>
        <v>0</v>
      </c>
      <c r="L452" s="69">
        <f t="shared" si="74"/>
        <v>0</v>
      </c>
      <c r="M452" s="69">
        <f t="shared" si="74"/>
        <v>0</v>
      </c>
      <c r="N452" s="69">
        <f t="shared" si="74"/>
        <v>0</v>
      </c>
      <c r="O452" s="69">
        <f t="shared" si="74"/>
        <v>0</v>
      </c>
      <c r="P452" s="69">
        <f t="shared" si="74"/>
        <v>0</v>
      </c>
      <c r="Q452" s="83">
        <f t="shared" si="66"/>
        <v>33</v>
      </c>
      <c r="R452" s="67">
        <f>R443+R450+R451</f>
        <v>371</v>
      </c>
      <c r="S452" s="123">
        <f t="array" ref="S452">IF(ISERROR(Q452/J452),"",Q452/J452)</f>
        <v>1</v>
      </c>
      <c r="T452" s="181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8"/>
  <dimension ref="A1:AC454"/>
  <sheetViews>
    <sheetView workbookViewId="0">
      <pane xSplit="5" ySplit="10" topLeftCell="N438" activePane="bottomRight" state="frozen"/>
      <selection pane="topRight" activeCell="F1" sqref="F1"/>
      <selection pane="bottomLeft" activeCell="A11" sqref="A11"/>
      <selection pane="bottomRight" activeCell="D437" sqref="D437:D45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hidden="1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hidden="1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hidden="1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hidden="1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hidden="1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208">
        <f>+I11</f>
        <v>1.8333333333333333</v>
      </c>
      <c r="H11" s="208">
        <f>200/600</f>
        <v>0.33333333333333331</v>
      </c>
      <c r="I11" s="208">
        <f>1+(300/600)+H11</f>
        <v>1.8333333333333333</v>
      </c>
      <c r="J11" s="110"/>
      <c r="K11" s="161">
        <f t="shared" si="0"/>
        <v>1129.3333333333333</v>
      </c>
      <c r="L11" s="161">
        <f t="shared" si="1"/>
        <v>1129.3333333333333</v>
      </c>
      <c r="M11" s="161">
        <v>616</v>
      </c>
      <c r="N11" s="161">
        <f t="shared" si="5"/>
        <v>4.534746760895171</v>
      </c>
      <c r="O11" s="161"/>
      <c r="P11" s="161">
        <f t="shared" si="2"/>
        <v>8.313702394974479</v>
      </c>
      <c r="Q11" s="161">
        <v>3</v>
      </c>
      <c r="R11" s="19">
        <f t="shared" si="3"/>
        <v>6</v>
      </c>
      <c r="S11" s="161">
        <f t="shared" si="4"/>
        <v>-2.313702394974479</v>
      </c>
      <c r="T11" s="20">
        <v>5</v>
      </c>
      <c r="U11" s="20">
        <v>2</v>
      </c>
      <c r="V11" s="158">
        <f t="array" ref="V11">IF(ISERROR(L11/K11),"",L11/K11)</f>
        <v>1</v>
      </c>
      <c r="W11" s="210">
        <v>1.5</v>
      </c>
      <c r="X11" s="150"/>
      <c r="Y11" s="150"/>
      <c r="Z11" s="162"/>
      <c r="AA11" s="20">
        <v>0.5</v>
      </c>
      <c r="AB11" s="20"/>
      <c r="AC11" s="20"/>
    </row>
    <row r="12" spans="1:29" ht="21.95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208">
        <v>3</v>
      </c>
      <c r="H12" s="208"/>
      <c r="I12" s="208">
        <v>3</v>
      </c>
      <c r="J12" s="110"/>
      <c r="K12" s="161">
        <f t="shared" si="0"/>
        <v>1848</v>
      </c>
      <c r="L12" s="161">
        <f t="shared" si="1"/>
        <v>1848</v>
      </c>
      <c r="M12" s="161">
        <v>616</v>
      </c>
      <c r="N12" s="161">
        <f t="shared" si="5"/>
        <v>4.534746760895171</v>
      </c>
      <c r="O12" s="161">
        <v>0.5</v>
      </c>
      <c r="P12" s="161">
        <f t="shared" si="2"/>
        <v>14.604240282685513</v>
      </c>
      <c r="Q12" s="161">
        <v>6</v>
      </c>
      <c r="R12" s="19">
        <f t="shared" si="3"/>
        <v>12</v>
      </c>
      <c r="S12" s="161">
        <f t="shared" si="4"/>
        <v>-2.6042402826855131</v>
      </c>
      <c r="T12" s="20">
        <v>5</v>
      </c>
      <c r="U12" s="20">
        <v>2</v>
      </c>
      <c r="V12" s="211">
        <f t="array" ref="V12">IF(ISERROR(L12/K12),"",L12/K12)</f>
        <v>1</v>
      </c>
      <c r="W12" s="210"/>
      <c r="X12" s="150"/>
      <c r="Y12" s="150"/>
      <c r="Z12" s="162"/>
      <c r="AA12" s="20"/>
      <c r="AB12" s="20"/>
      <c r="AC12" s="20"/>
    </row>
    <row r="13" spans="1:29" ht="21.95" hidden="1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211" t="str">
        <f t="array" ref="V13">IF(ISERROR(L13/K13),"",L13/K13)</f>
        <v/>
      </c>
      <c r="W13" s="210"/>
      <c r="X13" s="150"/>
      <c r="Y13" s="150"/>
      <c r="Z13" s="162"/>
      <c r="AA13" s="20"/>
      <c r="AB13" s="20"/>
      <c r="AC13" s="20"/>
    </row>
    <row r="14" spans="1:29" ht="21.95" hidden="1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211" t="str">
        <f t="array" ref="V14">IF(ISERROR(L14/K14),"",L14/K14)</f>
        <v/>
      </c>
      <c r="W14" s="210"/>
      <c r="X14" s="150"/>
      <c r="Y14" s="150"/>
      <c r="Z14" s="162"/>
      <c r="AA14" s="20"/>
      <c r="AB14" s="20"/>
      <c r="AC14" s="20"/>
    </row>
    <row r="15" spans="1:29" ht="21.95" hidden="1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211" t="str">
        <f t="array" ref="V15">IF(ISERROR(L15/K15),"",L15/K15)</f>
        <v/>
      </c>
      <c r="W15" s="210"/>
      <c r="X15" s="150"/>
      <c r="Y15" s="150"/>
      <c r="Z15" s="162"/>
      <c r="AA15" s="20"/>
      <c r="AB15" s="20"/>
      <c r="AC15" s="20"/>
    </row>
    <row r="16" spans="1:29" ht="21" hidden="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21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21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21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21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21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21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21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21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21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21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21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21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21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211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21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21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21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21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21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21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21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21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3004</v>
      </c>
      <c r="C38" s="237" t="s">
        <v>304</v>
      </c>
      <c r="D38" s="238"/>
      <c r="E38" s="163" t="s">
        <v>302</v>
      </c>
      <c r="F38" s="13"/>
      <c r="G38" s="208">
        <v>3</v>
      </c>
      <c r="H38" s="208">
        <f>350/500</f>
        <v>0.7</v>
      </c>
      <c r="I38" s="208">
        <f>2+H38</f>
        <v>2.7</v>
      </c>
      <c r="J38" s="110"/>
      <c r="K38" s="161">
        <f t="shared" si="0"/>
        <v>1586.3999999999999</v>
      </c>
      <c r="L38" s="161">
        <f t="shared" si="1"/>
        <v>1427.76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17.714143920595536</v>
      </c>
      <c r="Q38" s="161">
        <v>2</v>
      </c>
      <c r="R38" s="19">
        <f t="shared" si="3"/>
        <v>4</v>
      </c>
      <c r="S38" s="161">
        <f t="shared" si="4"/>
        <v>-13.714143920595536</v>
      </c>
      <c r="T38" s="20">
        <v>3</v>
      </c>
      <c r="U38" s="20">
        <v>2</v>
      </c>
      <c r="V38" s="211">
        <f t="array" ref="V38">IF(ISERROR(L38/K38),"",L38/K38)</f>
        <v>0.9</v>
      </c>
      <c r="W38" s="20">
        <v>0.5</v>
      </c>
      <c r="X38" s="20">
        <v>1</v>
      </c>
      <c r="Y38" s="20"/>
      <c r="Z38" s="20"/>
      <c r="AA38" s="20">
        <v>0.5</v>
      </c>
      <c r="AB38" s="20"/>
      <c r="AC38" s="20"/>
    </row>
    <row r="39" spans="1:29" ht="21.95" customHeight="1">
      <c r="A39" s="157">
        <v>300414</v>
      </c>
      <c r="B39" s="150">
        <v>3004</v>
      </c>
      <c r="C39" s="237" t="s">
        <v>304</v>
      </c>
      <c r="D39" s="238"/>
      <c r="E39" s="163" t="s">
        <v>311</v>
      </c>
      <c r="F39" s="13"/>
      <c r="G39" s="208">
        <v>2</v>
      </c>
      <c r="H39" s="208"/>
      <c r="I39" s="208">
        <f>2-J39/500</f>
        <v>1.9</v>
      </c>
      <c r="J39" s="110">
        <v>50</v>
      </c>
      <c r="K39" s="161">
        <f t="shared" si="0"/>
        <v>1057.5999999999999</v>
      </c>
      <c r="L39" s="161">
        <f t="shared" si="1"/>
        <v>1004.7199999999999</v>
      </c>
      <c r="M39" s="161">
        <v>528.79999999999995</v>
      </c>
      <c r="N39" s="161">
        <f>+M39*1000/(31*10*13*60)*T39</f>
        <v>6.5607940446650126</v>
      </c>
      <c r="O39" s="161">
        <v>0.5</v>
      </c>
      <c r="P39" s="161">
        <f t="shared" si="2"/>
        <v>13.465508684863524</v>
      </c>
      <c r="Q39" s="161">
        <v>1</v>
      </c>
      <c r="R39" s="19">
        <f t="shared" si="3"/>
        <v>2</v>
      </c>
      <c r="S39" s="161">
        <f t="shared" si="4"/>
        <v>-11.465508684863524</v>
      </c>
      <c r="T39" s="20">
        <v>3</v>
      </c>
      <c r="U39" s="20">
        <v>2</v>
      </c>
      <c r="V39" s="211">
        <f t="array" ref="V39">IF(ISERROR(L39/K39),"",L39/K39)</f>
        <v>0.95</v>
      </c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3004</v>
      </c>
      <c r="C40" s="237" t="s">
        <v>304</v>
      </c>
      <c r="D40" s="238"/>
      <c r="E40" s="163" t="s">
        <v>303</v>
      </c>
      <c r="F40" s="13"/>
      <c r="G40" s="208">
        <v>3</v>
      </c>
      <c r="H40" s="208"/>
      <c r="I40" s="208">
        <v>3</v>
      </c>
      <c r="J40" s="110"/>
      <c r="K40" s="161">
        <f t="shared" si="0"/>
        <v>1586.3999999999999</v>
      </c>
      <c r="L40" s="161">
        <f t="shared" si="1"/>
        <v>1586.3999999999999</v>
      </c>
      <c r="M40" s="161">
        <v>528.79999999999995</v>
      </c>
      <c r="N40" s="161">
        <f>+M40*1000/(31*10*13*60)*T40</f>
        <v>6.5607940446650126</v>
      </c>
      <c r="O40" s="161">
        <v>0.5</v>
      </c>
      <c r="P40" s="161">
        <f t="shared" si="2"/>
        <v>20.682382133995038</v>
      </c>
      <c r="Q40" s="161">
        <v>6</v>
      </c>
      <c r="R40" s="19">
        <f t="shared" si="3"/>
        <v>12</v>
      </c>
      <c r="S40" s="161">
        <f t="shared" si="4"/>
        <v>-8.6823821339950378</v>
      </c>
      <c r="T40" s="20">
        <v>3</v>
      </c>
      <c r="U40" s="20">
        <v>2</v>
      </c>
      <c r="V40" s="211">
        <f t="array" ref="V40">IF(ISERROR(L40/K40),"",L40/K40)</f>
        <v>1</v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21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21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21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21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21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211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211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211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211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21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21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21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21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21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21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21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11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21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21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211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211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21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21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21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211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211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211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211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211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21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21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21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21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11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21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21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5001</v>
      </c>
      <c r="C77" s="226" t="s">
        <v>95</v>
      </c>
      <c r="D77" s="226" t="s">
        <v>96</v>
      </c>
      <c r="E77" s="163" t="s">
        <v>35</v>
      </c>
      <c r="F77" s="13"/>
      <c r="G77" s="208">
        <f>+H77</f>
        <v>0.25</v>
      </c>
      <c r="H77" s="208">
        <f>100/400</f>
        <v>0.25</v>
      </c>
      <c r="I77" s="208">
        <f>+H77</f>
        <v>0.25</v>
      </c>
      <c r="J77" s="110"/>
      <c r="K77" s="161">
        <f t="shared" ref="K77:K153" si="7">G77*M77</f>
        <v>104.8</v>
      </c>
      <c r="L77" s="161">
        <f t="shared" ref="L77:L153" si="8">I77*M77</f>
        <v>104.8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1.2237986804460792</v>
      </c>
      <c r="Q77" s="161">
        <v>1</v>
      </c>
      <c r="R77" s="19">
        <f t="shared" ref="R77:R153" si="10">Q77*U77</f>
        <v>4</v>
      </c>
      <c r="S77" s="161">
        <f t="shared" ref="S77:S153" si="11">R77-P77</f>
        <v>2.7762013195539206</v>
      </c>
      <c r="T77" s="20">
        <v>4</v>
      </c>
      <c r="U77" s="20">
        <v>4</v>
      </c>
      <c r="V77" s="211">
        <f t="array" ref="V77">IF(ISERROR(L77/K77),"",L77/K77)</f>
        <v>1</v>
      </c>
      <c r="W77" s="20">
        <v>3</v>
      </c>
      <c r="X77" s="20"/>
      <c r="Y77" s="20"/>
      <c r="Z77" s="20"/>
      <c r="AA77" s="20">
        <v>0.5</v>
      </c>
      <c r="AB77" s="20"/>
      <c r="AC77" s="20"/>
    </row>
    <row r="78" spans="1:29" ht="21.95" hidden="1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21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21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21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211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21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11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21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211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211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211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21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21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21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21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21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21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21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21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21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11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21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21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21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21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21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>
        <v>5001</v>
      </c>
      <c r="C103" s="237" t="s">
        <v>296</v>
      </c>
      <c r="D103" s="238"/>
      <c r="E103" s="163" t="s">
        <v>297</v>
      </c>
      <c r="F103" s="13"/>
      <c r="G103" s="208">
        <v>5</v>
      </c>
      <c r="H103" s="208"/>
      <c r="I103" s="208">
        <v>5</v>
      </c>
      <c r="J103" s="110"/>
      <c r="K103" s="161">
        <f t="shared" si="7"/>
        <v>2620.5</v>
      </c>
      <c r="L103" s="161">
        <f t="shared" si="8"/>
        <v>2620.5</v>
      </c>
      <c r="M103" s="161">
        <v>524.1</v>
      </c>
      <c r="N103" s="161">
        <f t="shared" si="12"/>
        <v>3.3467432950191571</v>
      </c>
      <c r="O103" s="161">
        <v>0.5</v>
      </c>
      <c r="P103" s="161">
        <f t="shared" si="9"/>
        <v>18.733716475095786</v>
      </c>
      <c r="Q103" s="161">
        <v>3</v>
      </c>
      <c r="R103" s="19">
        <f t="shared" si="10"/>
        <v>12</v>
      </c>
      <c r="S103" s="161">
        <f t="shared" si="11"/>
        <v>-6.7337164750957861</v>
      </c>
      <c r="T103" s="20">
        <v>4</v>
      </c>
      <c r="U103" s="20">
        <v>4</v>
      </c>
      <c r="V103" s="211">
        <f t="array" ref="V103">IF(ISERROR(L103/K103),"",L103/K103)</f>
        <v>1</v>
      </c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>
        <v>5001</v>
      </c>
      <c r="C104" s="237" t="s">
        <v>296</v>
      </c>
      <c r="D104" s="238"/>
      <c r="E104" s="163" t="s">
        <v>298</v>
      </c>
      <c r="F104" s="13"/>
      <c r="G104" s="208">
        <v>2</v>
      </c>
      <c r="H104" s="208"/>
      <c r="I104" s="208">
        <v>2</v>
      </c>
      <c r="J104" s="110"/>
      <c r="K104" s="161">
        <f t="shared" si="7"/>
        <v>1048.2</v>
      </c>
      <c r="L104" s="161">
        <f t="shared" si="8"/>
        <v>1048.2</v>
      </c>
      <c r="M104" s="161">
        <v>524.1</v>
      </c>
      <c r="N104" s="161">
        <f t="shared" si="12"/>
        <v>3.3467432950191571</v>
      </c>
      <c r="O104" s="161">
        <v>0.5</v>
      </c>
      <c r="P104" s="161">
        <f t="shared" si="9"/>
        <v>8.6934865900383151</v>
      </c>
      <c r="Q104" s="161">
        <v>3</v>
      </c>
      <c r="R104" s="19">
        <f t="shared" si="10"/>
        <v>12</v>
      </c>
      <c r="S104" s="161">
        <f t="shared" si="11"/>
        <v>3.3065134099616849</v>
      </c>
      <c r="T104" s="20">
        <v>4</v>
      </c>
      <c r="U104" s="20">
        <v>4</v>
      </c>
      <c r="V104" s="211">
        <f t="array" ref="V104">IF(ISERROR(L104/K104),"",L104/K104)</f>
        <v>1</v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211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11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11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11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11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11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21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21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21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21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21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21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21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21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21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21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211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211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211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211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211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21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21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21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21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211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211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21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21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21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21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21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21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21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21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21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21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21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21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211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211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21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21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21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21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211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211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211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211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211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211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211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211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211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211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211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211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211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211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211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211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211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211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21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21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21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21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21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21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21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21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21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21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21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21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21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21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21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21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21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21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21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21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21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21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21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211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211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211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211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21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21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21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21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20.083333333333332</v>
      </c>
      <c r="H199" s="161">
        <f t="array" ref="H199">SUM(IF(ISERROR(H6:H198),“”,H6:H198))</f>
        <v>1.2833333333333332</v>
      </c>
      <c r="I199" s="161">
        <f t="array" ref="I199">SUM(IF(ISERROR(I6:I198),“”,I6:I198))</f>
        <v>19.683333333333334</v>
      </c>
      <c r="J199" s="161">
        <f t="array" ref="J199">SUM(IF(ISERROR(J6:J198),“”,J6:J198))</f>
        <v>50</v>
      </c>
      <c r="K199" s="161">
        <f t="array" ref="K199">SUM(IF(ISERROR(K6:K198),“”,K6:K198))</f>
        <v>10981.233333333334</v>
      </c>
      <c r="L199" s="56">
        <f>SUM(L6:L198)</f>
        <v>10769.713333333333</v>
      </c>
      <c r="M199" s="161"/>
      <c r="N199" s="161"/>
      <c r="O199" s="161">
        <f>SUM(O6:O190)</f>
        <v>2.5</v>
      </c>
      <c r="P199" s="56">
        <f>SUM((P6:P190),(W204:X209))</f>
        <v>202.43097916269426</v>
      </c>
      <c r="Q199" s="161"/>
      <c r="R199" s="56">
        <f>SUM((R6:R190),(Y204:Z209))</f>
        <v>130</v>
      </c>
      <c r="S199" s="161">
        <f t="array" ref="S199">SUM(IF(ISERROR(S6:S198),“”,S6:S198))</f>
        <v>-39.430979162694271</v>
      </c>
      <c r="T199" s="161"/>
      <c r="U199" s="161"/>
      <c r="V199" s="158">
        <f>IF(ISERROR(L199/K199),"",L199/K199)</f>
        <v>0.98073804703175416</v>
      </c>
      <c r="W199" s="161">
        <f t="array" ref="W199">SUM(IF(ISERROR(W6:W198),“”,W6:W198))</f>
        <v>5</v>
      </c>
      <c r="X199" s="161">
        <f t="array" ref="X199">SUM(IF(ISERROR(X6:X198),“”,X6:X198))</f>
        <v>1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1.5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>
        <f>IF(ISERROR(P199/R199),"",P199/R199)</f>
        <v>1.5571613781745712</v>
      </c>
      <c r="P200" s="252"/>
      <c r="Q200" s="252"/>
      <c r="R200" s="253"/>
      <c r="S200" s="44"/>
      <c r="T200" s="45"/>
      <c r="U200" s="45"/>
      <c r="V200" s="45"/>
      <c r="W200" s="254">
        <f>SUM(W199:AC199)</f>
        <v>7.5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>
        <v>0</v>
      </c>
      <c r="F202" s="257"/>
      <c r="G202" s="257">
        <v>0</v>
      </c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>
        <v>1952.3</v>
      </c>
      <c r="F203" s="257"/>
      <c r="G203" s="257">
        <v>2092.3000000000002</v>
      </c>
      <c r="H203" s="257"/>
      <c r="I203" s="257">
        <f>G203-E203</f>
        <v>140.00000000000023</v>
      </c>
      <c r="J203" s="257"/>
      <c r="K203" s="259">
        <f t="array" ref="K203">IF(ISERROR(I203/E203),"",I203/E203)</f>
        <v>7.1710290426676343E-2</v>
      </c>
      <c r="L203" s="259"/>
      <c r="M203" s="244"/>
      <c r="N203" s="245"/>
      <c r="O203" s="260"/>
      <c r="P203" s="260"/>
      <c r="Q203" s="261" t="s">
        <v>193</v>
      </c>
      <c r="R203" s="261"/>
      <c r="S203" s="262">
        <v>8</v>
      </c>
      <c r="T203" s="262"/>
      <c r="U203" s="262">
        <f>2+2+4</f>
        <v>8</v>
      </c>
      <c r="V203" s="262"/>
      <c r="W203" s="261">
        <f t="shared" ref="W203:W210" si="28">S203*11</f>
        <v>88</v>
      </c>
      <c r="X203" s="261"/>
      <c r="Y203" s="261">
        <f t="shared" ref="Y203:Y210" si="29">U203*11</f>
        <v>88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>
        <v>0</v>
      </c>
      <c r="F204" s="257"/>
      <c r="G204" s="257">
        <v>0</v>
      </c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>
        <v>2</v>
      </c>
      <c r="T204" s="262"/>
      <c r="U204" s="262">
        <v>3</v>
      </c>
      <c r="V204" s="262"/>
      <c r="W204" s="261">
        <f t="shared" si="28"/>
        <v>22</v>
      </c>
      <c r="X204" s="261"/>
      <c r="Y204" s="261">
        <f t="shared" si="29"/>
        <v>33</v>
      </c>
      <c r="Z204" s="261"/>
      <c r="AA204" s="261">
        <f t="shared" si="30"/>
        <v>11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336">
        <v>0.75</v>
      </c>
      <c r="T205" s="337"/>
      <c r="U205" s="262">
        <v>0</v>
      </c>
      <c r="V205" s="262"/>
      <c r="W205" s="261">
        <f t="shared" si="28"/>
        <v>8.25</v>
      </c>
      <c r="X205" s="261"/>
      <c r="Y205" s="261">
        <f t="shared" si="29"/>
        <v>0</v>
      </c>
      <c r="Z205" s="261"/>
      <c r="AA205" s="261">
        <f t="shared" si="30"/>
        <v>-8.25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>
        <v>147403</v>
      </c>
      <c r="H206" s="264"/>
      <c r="I206" s="302">
        <v>147345</v>
      </c>
      <c r="J206" s="302"/>
      <c r="K206" s="267">
        <f>G206-I206</f>
        <v>58</v>
      </c>
      <c r="L206" s="267"/>
      <c r="M206" s="268">
        <f t="array" ref="M206">IF(ISERROR(K206/L199),"",K206/(L199/1000))</f>
        <v>5.3854729652352242</v>
      </c>
      <c r="N206" s="268"/>
      <c r="O206" s="260"/>
      <c r="P206" s="260"/>
      <c r="Q206" s="261" t="s">
        <v>205</v>
      </c>
      <c r="R206" s="261"/>
      <c r="S206" s="336">
        <v>0.75</v>
      </c>
      <c r="T206" s="337"/>
      <c r="U206" s="262">
        <v>0</v>
      </c>
      <c r="V206" s="262"/>
      <c r="W206" s="261">
        <f t="shared" si="28"/>
        <v>8.25</v>
      </c>
      <c r="X206" s="261"/>
      <c r="Y206" s="261">
        <f t="shared" si="29"/>
        <v>0</v>
      </c>
      <c r="Z206" s="261"/>
      <c r="AA206" s="261">
        <f t="shared" si="30"/>
        <v>-8.25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>
        <f>28379.9*120+44570.1*60</f>
        <v>6079794</v>
      </c>
      <c r="H207" s="264"/>
      <c r="I207" s="300">
        <f>28374.4*120+44562.2*60</f>
        <v>6078660</v>
      </c>
      <c r="J207" s="301"/>
      <c r="K207" s="267">
        <f>G207-I207</f>
        <v>1134</v>
      </c>
      <c r="L207" s="267"/>
      <c r="M207" s="268">
        <f t="array" ref="M207">IF(ISERROR(K207/L199),"",K207/(L199/1000))</f>
        <v>105.29528176856456</v>
      </c>
      <c r="N207" s="268"/>
      <c r="O207" s="260"/>
      <c r="P207" s="260"/>
      <c r="Q207" s="261" t="s">
        <v>208</v>
      </c>
      <c r="R207" s="261"/>
      <c r="S207" s="336">
        <v>1.5</v>
      </c>
      <c r="T207" s="337"/>
      <c r="U207" s="262">
        <v>0</v>
      </c>
      <c r="V207" s="262"/>
      <c r="W207" s="261">
        <f t="shared" si="28"/>
        <v>16.5</v>
      </c>
      <c r="X207" s="261"/>
      <c r="Y207" s="261">
        <f t="shared" si="29"/>
        <v>0</v>
      </c>
      <c r="Z207" s="261"/>
      <c r="AA207" s="261">
        <f t="shared" si="30"/>
        <v>-16.5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302"/>
      <c r="J208" s="302"/>
      <c r="K208" s="267">
        <f>G208-I208</f>
        <v>0</v>
      </c>
      <c r="L208" s="267"/>
      <c r="M208" s="271">
        <f t="array" ref="M208">IF(ISERROR(K208/L199),"",K208/(L199/1000))</f>
        <v>0</v>
      </c>
      <c r="N208" s="271"/>
      <c r="O208" s="260"/>
      <c r="P208" s="260"/>
      <c r="Q208" s="261" t="s">
        <v>211</v>
      </c>
      <c r="R208" s="261"/>
      <c r="S208" s="336">
        <v>1</v>
      </c>
      <c r="T208" s="337"/>
      <c r="U208" s="262">
        <v>1</v>
      </c>
      <c r="V208" s="262"/>
      <c r="W208" s="261">
        <f t="shared" si="28"/>
        <v>11</v>
      </c>
      <c r="X208" s="261"/>
      <c r="Y208" s="261">
        <f t="shared" si="29"/>
        <v>11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 t="s">
        <v>319</v>
      </c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336">
        <v>3</v>
      </c>
      <c r="T209" s="337"/>
      <c r="U209" s="262">
        <v>2</v>
      </c>
      <c r="V209" s="262"/>
      <c r="W209" s="261">
        <f t="shared" si="28"/>
        <v>33</v>
      </c>
      <c r="X209" s="261"/>
      <c r="Y209" s="261">
        <f t="shared" si="29"/>
        <v>22</v>
      </c>
      <c r="Z209" s="261"/>
      <c r="AA209" s="261">
        <f t="shared" si="30"/>
        <v>-11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17</v>
      </c>
      <c r="T210" s="262"/>
      <c r="U210" s="262">
        <f>SUM(U203:V209)</f>
        <v>14</v>
      </c>
      <c r="V210" s="262"/>
      <c r="W210" s="261">
        <f t="shared" si="28"/>
        <v>187</v>
      </c>
      <c r="X210" s="261"/>
      <c r="Y210" s="261">
        <f t="shared" si="29"/>
        <v>154</v>
      </c>
      <c r="Z210" s="261"/>
      <c r="AA210" s="261">
        <f t="shared" si="30"/>
        <v>-33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>
        <f t="array" ref="S211">IF(ISERROR(L199/Y210),"",L199/Y210)</f>
        <v>69.933203463203455</v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hidden="1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hidden="1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hidden="1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>
        <v>3</v>
      </c>
      <c r="H218" s="161"/>
      <c r="I218" s="161">
        <v>3</v>
      </c>
      <c r="J218" s="161"/>
      <c r="K218" s="161">
        <f t="shared" si="31"/>
        <v>1848</v>
      </c>
      <c r="L218" s="161">
        <f t="shared" si="32"/>
        <v>1848</v>
      </c>
      <c r="M218" s="161">
        <v>616</v>
      </c>
      <c r="N218" s="161">
        <f t="shared" si="33"/>
        <v>3.6277974087161367</v>
      </c>
      <c r="O218" s="161"/>
      <c r="P218" s="161">
        <f t="shared" si="34"/>
        <v>10.883392226148409</v>
      </c>
      <c r="Q218" s="161">
        <v>7</v>
      </c>
      <c r="R218" s="19">
        <f t="shared" si="35"/>
        <v>21</v>
      </c>
      <c r="S218" s="161">
        <f t="shared" si="36"/>
        <v>10.116607773851591</v>
      </c>
      <c r="T218" s="20">
        <v>4</v>
      </c>
      <c r="U218" s="20">
        <v>3</v>
      </c>
      <c r="V218" s="158">
        <f t="array" ref="V218">IF(ISERROR(L218/K218),"",L218/K218)</f>
        <v>1</v>
      </c>
      <c r="W218" s="20"/>
      <c r="X218" s="150"/>
      <c r="Y218" s="150"/>
      <c r="Z218" s="162"/>
      <c r="AA218" s="20">
        <v>0.5</v>
      </c>
      <c r="AB218" s="20"/>
      <c r="AC218" s="20"/>
    </row>
    <row r="219" spans="1:29" s="2" customFormat="1" ht="21.95" hidden="1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211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hidden="1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211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hidden="1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211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>
        <v>3</v>
      </c>
      <c r="H222" s="161"/>
      <c r="I222" s="161">
        <v>3</v>
      </c>
      <c r="J222" s="161"/>
      <c r="K222" s="161">
        <f t="shared" si="31"/>
        <v>1848</v>
      </c>
      <c r="L222" s="161">
        <f t="shared" si="32"/>
        <v>1848</v>
      </c>
      <c r="M222" s="161">
        <v>616</v>
      </c>
      <c r="N222" s="161">
        <f t="shared" si="33"/>
        <v>3.6277974087161367</v>
      </c>
      <c r="O222" s="161">
        <v>0.5</v>
      </c>
      <c r="P222" s="161">
        <f t="shared" si="34"/>
        <v>12.383392226148409</v>
      </c>
      <c r="Q222" s="161">
        <v>3</v>
      </c>
      <c r="R222" s="19">
        <f t="shared" si="35"/>
        <v>9</v>
      </c>
      <c r="S222" s="161">
        <f t="shared" si="36"/>
        <v>-3.3833922261484091</v>
      </c>
      <c r="T222" s="20">
        <v>4</v>
      </c>
      <c r="U222" s="20">
        <v>3</v>
      </c>
      <c r="V222" s="211">
        <f t="array" ref="V222">IF(ISERROR(L222/K222),"",L222/K222)</f>
        <v>1</v>
      </c>
      <c r="W222" s="20"/>
      <c r="X222" s="150"/>
      <c r="Y222" s="150"/>
      <c r="Z222" s="162"/>
      <c r="AA222" s="20"/>
      <c r="AB222" s="20"/>
      <c r="AC222" s="20"/>
    </row>
    <row r="223" spans="1:29" ht="21.95" hidden="1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211" t="str">
        <f t="array" ref="V223">IF(ISERROR(L223/K223),"",L223/K223)</f>
        <v/>
      </c>
      <c r="W223" s="20"/>
      <c r="X223" s="150"/>
      <c r="Y223" s="150"/>
      <c r="Z223" s="162"/>
      <c r="AA223" s="20"/>
      <c r="AB223" s="20"/>
      <c r="AC223" s="20"/>
    </row>
    <row r="224" spans="1:29" ht="21.95" hidden="1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211" t="str">
        <f t="array" ref="V224">IF(ISERROR(L224/K224),"",L224/K224)</f>
        <v/>
      </c>
      <c r="W224" s="20"/>
      <c r="X224" s="150"/>
      <c r="Y224" s="150"/>
      <c r="Z224" s="162"/>
      <c r="AA224" s="20"/>
      <c r="AB224" s="20"/>
      <c r="AC224" s="20"/>
    </row>
    <row r="225" spans="1:29" s="2" customFormat="1" ht="21.95" hidden="1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21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21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21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21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21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21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21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21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21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21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21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21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21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11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21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21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21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>
        <v>3004</v>
      </c>
      <c r="C242" s="226" t="s">
        <v>56</v>
      </c>
      <c r="D242" s="226"/>
      <c r="E242" s="163" t="s">
        <v>54</v>
      </c>
      <c r="F242" s="162"/>
      <c r="G242" s="161">
        <v>4</v>
      </c>
      <c r="H242" s="161"/>
      <c r="I242" s="161">
        <v>4</v>
      </c>
      <c r="J242" s="161"/>
      <c r="K242" s="161">
        <f t="shared" si="31"/>
        <v>2201.6</v>
      </c>
      <c r="L242" s="161">
        <f t="shared" si="32"/>
        <v>2201.6</v>
      </c>
      <c r="M242" s="161">
        <v>550.4</v>
      </c>
      <c r="N242" s="161">
        <f>+M242*1000/(31*20*15*60)*T242</f>
        <v>2.9591397849462364</v>
      </c>
      <c r="O242" s="161">
        <v>0.5</v>
      </c>
      <c r="P242" s="161">
        <f t="shared" si="34"/>
        <v>13.336559139784946</v>
      </c>
      <c r="Q242" s="161">
        <v>4</v>
      </c>
      <c r="R242" s="19">
        <f t="shared" si="35"/>
        <v>12</v>
      </c>
      <c r="S242" s="161">
        <f t="shared" si="36"/>
        <v>-1.3365591397849457</v>
      </c>
      <c r="T242" s="20">
        <v>3</v>
      </c>
      <c r="U242" s="20">
        <v>3</v>
      </c>
      <c r="V242" s="211">
        <f t="array" ref="V242">IF(ISERROR(L242/K242),"",L242/K242)</f>
        <v>1</v>
      </c>
      <c r="W242" s="20"/>
      <c r="X242" s="20"/>
      <c r="Y242" s="20"/>
      <c r="Z242" s="20"/>
      <c r="AA242" s="20">
        <v>1.5</v>
      </c>
      <c r="AB242" s="20"/>
      <c r="AC242" s="20"/>
    </row>
    <row r="243" spans="1:29" s="2" customFormat="1" ht="21.95" hidden="1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21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21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>
        <v>3004</v>
      </c>
      <c r="C245" s="226" t="s">
        <v>56</v>
      </c>
      <c r="D245" s="226"/>
      <c r="E245" s="163" t="s">
        <v>37</v>
      </c>
      <c r="F245" s="162"/>
      <c r="G245" s="161">
        <v>5</v>
      </c>
      <c r="H245" s="161"/>
      <c r="I245" s="161">
        <f>5-J245/500</f>
        <v>4.8</v>
      </c>
      <c r="J245" s="161">
        <v>100</v>
      </c>
      <c r="K245" s="161">
        <f t="shared" si="31"/>
        <v>2752</v>
      </c>
      <c r="L245" s="161">
        <f t="shared" si="32"/>
        <v>2641.9199999999996</v>
      </c>
      <c r="M245" s="161">
        <v>550.4</v>
      </c>
      <c r="N245" s="161">
        <f>+M245*1000/(31*20*15*60)*T245</f>
        <v>2.9591397849462364</v>
      </c>
      <c r="O245" s="161">
        <v>0.5</v>
      </c>
      <c r="P245" s="161">
        <f t="shared" si="34"/>
        <v>15.703870967741935</v>
      </c>
      <c r="Q245" s="161">
        <v>4</v>
      </c>
      <c r="R245" s="19">
        <f t="shared" si="35"/>
        <v>12</v>
      </c>
      <c r="S245" s="161">
        <f t="shared" si="36"/>
        <v>-3.7038709677419348</v>
      </c>
      <c r="T245" s="20">
        <v>3</v>
      </c>
      <c r="U245" s="20">
        <v>3</v>
      </c>
      <c r="V245" s="211">
        <f t="array" ref="V245">IF(ISERROR(L245/K245),"",L245/K245)</f>
        <v>0.95999999999999985</v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21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211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3004</v>
      </c>
      <c r="C248" s="237" t="s">
        <v>304</v>
      </c>
      <c r="D248" s="238"/>
      <c r="E248" s="214" t="s">
        <v>311</v>
      </c>
      <c r="F248" s="13"/>
      <c r="G248" s="208">
        <f>+I248</f>
        <v>1.1000000000000001</v>
      </c>
      <c r="H248" s="208">
        <f>50/500</f>
        <v>0.1</v>
      </c>
      <c r="I248" s="208">
        <f>1+H248</f>
        <v>1.1000000000000001</v>
      </c>
      <c r="J248" s="110"/>
      <c r="K248" s="161">
        <f t="shared" si="31"/>
        <v>581.67999999999995</v>
      </c>
      <c r="L248" s="161">
        <f t="shared" si="32"/>
        <v>581.67999999999995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7.2168734491315147</v>
      </c>
      <c r="Q248" s="161">
        <v>2</v>
      </c>
      <c r="R248" s="19">
        <f t="shared" si="35"/>
        <v>6</v>
      </c>
      <c r="S248" s="161">
        <f t="shared" si="36"/>
        <v>-1.2168734491315147</v>
      </c>
      <c r="T248" s="20">
        <v>3</v>
      </c>
      <c r="U248" s="20">
        <v>3</v>
      </c>
      <c r="V248" s="211">
        <f t="array" ref="V248">IF(ISERROR(L248/K248),"",L248/K248)</f>
        <v>1</v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211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21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21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21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21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21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211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211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211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211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21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21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21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21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21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21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21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11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21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21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211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211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21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21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21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211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211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211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211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211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21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21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21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21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21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21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21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21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21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21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21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211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21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11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21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211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211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211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21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21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21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21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21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21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21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21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21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21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21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21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21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21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21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211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>
        <v>5001</v>
      </c>
      <c r="C313" s="237" t="s">
        <v>296</v>
      </c>
      <c r="D313" s="238"/>
      <c r="E313" s="163" t="s">
        <v>298</v>
      </c>
      <c r="F313" s="13"/>
      <c r="G313" s="208">
        <v>3</v>
      </c>
      <c r="H313" s="208"/>
      <c r="I313" s="208">
        <v>3</v>
      </c>
      <c r="J313" s="208"/>
      <c r="K313" s="161">
        <f t="shared" si="38"/>
        <v>1572.3000000000002</v>
      </c>
      <c r="L313" s="161">
        <f t="shared" si="39"/>
        <v>1572.3000000000002</v>
      </c>
      <c r="M313" s="161">
        <v>524.1</v>
      </c>
      <c r="N313" s="161">
        <f t="shared" si="43"/>
        <v>3.3467432950191571</v>
      </c>
      <c r="O313" s="161"/>
      <c r="P313" s="161">
        <f t="shared" si="40"/>
        <v>10.040229885057471</v>
      </c>
      <c r="Q313" s="161">
        <v>3.5</v>
      </c>
      <c r="R313" s="19">
        <f t="shared" si="41"/>
        <v>17.5</v>
      </c>
      <c r="S313" s="161">
        <f t="shared" si="42"/>
        <v>7.4597701149425291</v>
      </c>
      <c r="T313" s="20">
        <v>4</v>
      </c>
      <c r="U313" s="20">
        <v>5</v>
      </c>
      <c r="V313" s="211">
        <f t="array" ref="V313">IF(ISERROR(L313/K313),"",L313/K313)</f>
        <v>1</v>
      </c>
      <c r="W313" s="20"/>
      <c r="X313" s="20"/>
      <c r="Y313" s="20"/>
      <c r="Z313" s="20"/>
      <c r="AA313" s="20">
        <v>2</v>
      </c>
      <c r="AB313" s="20"/>
      <c r="AC313" s="20"/>
    </row>
    <row r="314" spans="1:29" ht="21.95" customHeight="1">
      <c r="A314" s="157">
        <v>300425</v>
      </c>
      <c r="B314" s="150">
        <v>5001</v>
      </c>
      <c r="C314" s="237" t="s">
        <v>296</v>
      </c>
      <c r="D314" s="238"/>
      <c r="E314" s="163" t="s">
        <v>299</v>
      </c>
      <c r="F314" s="13"/>
      <c r="G314" s="208">
        <v>5</v>
      </c>
      <c r="H314" s="208"/>
      <c r="I314" s="208">
        <v>5</v>
      </c>
      <c r="J314" s="208"/>
      <c r="K314" s="161">
        <f t="shared" si="38"/>
        <v>2620.5</v>
      </c>
      <c r="L314" s="161">
        <f t="shared" si="39"/>
        <v>2620.5</v>
      </c>
      <c r="M314" s="161">
        <v>524.1</v>
      </c>
      <c r="N314" s="161">
        <f t="shared" si="43"/>
        <v>3.3467432950191571</v>
      </c>
      <c r="O314" s="161">
        <v>0.5</v>
      </c>
      <c r="P314" s="161">
        <f t="shared" si="40"/>
        <v>19.233716475095786</v>
      </c>
      <c r="Q314" s="161">
        <v>4.5</v>
      </c>
      <c r="R314" s="19">
        <f t="shared" si="41"/>
        <v>22.5</v>
      </c>
      <c r="S314" s="161">
        <f t="shared" si="42"/>
        <v>3.2662835249042139</v>
      </c>
      <c r="T314" s="20">
        <v>4</v>
      </c>
      <c r="U314" s="20">
        <v>5</v>
      </c>
      <c r="V314" s="211">
        <f t="array" ref="V314">IF(ISERROR(L314/K314),"",L314/K314)</f>
        <v>1</v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208"/>
      <c r="H315" s="208"/>
      <c r="I315" s="208"/>
      <c r="J315" s="208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208"/>
      <c r="H316" s="208"/>
      <c r="I316" s="208"/>
      <c r="J316" s="208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213"/>
      <c r="H317" s="213"/>
      <c r="I317" s="213"/>
      <c r="J317" s="21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213"/>
      <c r="H318" s="213"/>
      <c r="I318" s="213"/>
      <c r="J318" s="21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>
        <v>5001</v>
      </c>
      <c r="C319" s="240" t="s">
        <v>305</v>
      </c>
      <c r="D319" s="241"/>
      <c r="E319" s="125" t="s">
        <v>308</v>
      </c>
      <c r="F319" s="25"/>
      <c r="G319" s="213">
        <v>1</v>
      </c>
      <c r="H319" s="213"/>
      <c r="I319" s="213">
        <f>1-J319/600</f>
        <v>0.75</v>
      </c>
      <c r="J319" s="111">
        <v>150</v>
      </c>
      <c r="K319" s="28">
        <f t="shared" si="38"/>
        <v>628.79999999999995</v>
      </c>
      <c r="L319" s="28">
        <f t="shared" si="39"/>
        <v>471.59999999999997</v>
      </c>
      <c r="M319" s="28">
        <v>628.79999999999995</v>
      </c>
      <c r="N319" s="28">
        <f>+M319*1000/(87*1*80*60)*T319</f>
        <v>6.0229885057471266</v>
      </c>
      <c r="O319" s="28">
        <v>0.5</v>
      </c>
      <c r="P319" s="28">
        <f t="shared" si="40"/>
        <v>7.0172413793103452</v>
      </c>
      <c r="Q319" s="28">
        <v>1.5</v>
      </c>
      <c r="R319" s="29">
        <f t="shared" si="41"/>
        <v>7.5</v>
      </c>
      <c r="S319" s="28">
        <f t="shared" si="42"/>
        <v>0.4827586206896548</v>
      </c>
      <c r="T319" s="30">
        <v>4</v>
      </c>
      <c r="U319" s="30">
        <v>5</v>
      </c>
      <c r="V319" s="112">
        <f t="array" ref="V319">IF(ISERROR(L319/K319),"",L319/K319)</f>
        <v>0.75</v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25.1</v>
      </c>
      <c r="H408" s="161">
        <f t="array" ref="H408">SUM(IF(ISERROR(H215:H407),“”,H215:H407))</f>
        <v>0.1</v>
      </c>
      <c r="I408" s="161">
        <f t="array" ref="I408">SUM(IF(ISERROR(I215:I407),“”,I215:I407))</f>
        <v>24.65</v>
      </c>
      <c r="J408" s="161">
        <f t="array" ref="J408">SUM(IF(ISERROR(J215:J407),“”,J215:J407))</f>
        <v>250</v>
      </c>
      <c r="K408" s="161">
        <f t="array" ref="K408">SUM(IF(ISERROR(K215:K407),“”,K215:K407))</f>
        <v>14052.880000000001</v>
      </c>
      <c r="L408" s="117">
        <f>SUM(L215:L399)</f>
        <v>13785.6</v>
      </c>
      <c r="M408" s="161"/>
      <c r="N408" s="161"/>
      <c r="O408" s="161">
        <f t="array" ref="O408">SUM(IF(ISERROR(O215:O407),“”,O215:O407))</f>
        <v>2.5</v>
      </c>
      <c r="P408" s="56">
        <f>SUM((P215:P399),(W413:X418))</f>
        <v>199.3152757484188</v>
      </c>
      <c r="Q408" s="161"/>
      <c r="R408" s="56">
        <f>SUM((R215:R399),(Y413:Z418))</f>
        <v>176.5</v>
      </c>
      <c r="S408" s="161">
        <f t="array" ref="S408">SUM(IF(ISERROR(S215:S407),“”,S215:S407))</f>
        <v>11.684724251581184</v>
      </c>
      <c r="T408" s="161"/>
      <c r="U408" s="161"/>
      <c r="V408" s="158">
        <f t="array" ref="V408">IF(ISERROR(L408/K408),"",L408/K408)</f>
        <v>0.98098041113280687</v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4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>
        <f t="array" ref="O409">IF(ISERROR(P408/R408),"",P408/R408)</f>
        <v>1.1292650184046391</v>
      </c>
      <c r="P409" s="252"/>
      <c r="Q409" s="252"/>
      <c r="R409" s="253"/>
      <c r="S409" s="44"/>
      <c r="T409" s="45"/>
      <c r="U409" s="45"/>
      <c r="V409" s="45"/>
      <c r="W409" s="254">
        <f>SUM(W408:AC408)</f>
        <v>4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>
        <v>0</v>
      </c>
      <c r="F411" s="257"/>
      <c r="G411" s="257">
        <v>0</v>
      </c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>
        <v>2779.1</v>
      </c>
      <c r="F412" s="257"/>
      <c r="G412" s="257">
        <v>2779.1</v>
      </c>
      <c r="H412" s="257"/>
      <c r="I412" s="257">
        <f>G412-E412</f>
        <v>0</v>
      </c>
      <c r="J412" s="257"/>
      <c r="K412" s="259">
        <f t="array" ref="K412">IF(ISERROR(I412/E412),"",I412/E412)</f>
        <v>0</v>
      </c>
      <c r="L412" s="259"/>
      <c r="M412" s="244"/>
      <c r="N412" s="245"/>
      <c r="O412" s="299"/>
      <c r="P412" s="299"/>
      <c r="Q412" s="261" t="s">
        <v>193</v>
      </c>
      <c r="R412" s="261"/>
      <c r="S412" s="262">
        <v>8</v>
      </c>
      <c r="T412" s="262"/>
      <c r="U412" s="262">
        <f>5+3+3</f>
        <v>11</v>
      </c>
      <c r="V412" s="262"/>
      <c r="W412" s="261">
        <f>S412*11.5</f>
        <v>92</v>
      </c>
      <c r="X412" s="261"/>
      <c r="Y412" s="261">
        <f>U412*11.5</f>
        <v>126.5</v>
      </c>
      <c r="Z412" s="261"/>
      <c r="AA412" s="261">
        <f t="shared" ref="AA412:AA419" si="59">Y412-W412</f>
        <v>34.5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>
        <v>0</v>
      </c>
      <c r="F413" s="257"/>
      <c r="G413" s="257">
        <v>0</v>
      </c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>
        <v>2</v>
      </c>
      <c r="T413" s="262"/>
      <c r="U413" s="262">
        <v>3</v>
      </c>
      <c r="V413" s="262"/>
      <c r="W413" s="261">
        <f t="shared" ref="W413:W419" si="60">S413*11.5</f>
        <v>23</v>
      </c>
      <c r="X413" s="261"/>
      <c r="Y413" s="261">
        <f t="shared" ref="Y413:Y419" si="61">U413*11.5</f>
        <v>34.5</v>
      </c>
      <c r="Z413" s="261"/>
      <c r="AA413" s="261">
        <f t="shared" si="59"/>
        <v>11.5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336">
        <v>0.75</v>
      </c>
      <c r="T414" s="337"/>
      <c r="U414" s="262">
        <v>1</v>
      </c>
      <c r="V414" s="262"/>
      <c r="W414" s="261">
        <f t="shared" si="60"/>
        <v>8.625</v>
      </c>
      <c r="X414" s="261"/>
      <c r="Y414" s="261">
        <f t="shared" si="61"/>
        <v>11.5</v>
      </c>
      <c r="Z414" s="261"/>
      <c r="AA414" s="261">
        <f t="shared" si="59"/>
        <v>2.875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>
        <v>147452</v>
      </c>
      <c r="H415" s="302"/>
      <c r="I415" s="263">
        <v>147403</v>
      </c>
      <c r="J415" s="264"/>
      <c r="K415" s="267">
        <f>G415-I415</f>
        <v>49</v>
      </c>
      <c r="L415" s="267"/>
      <c r="M415" s="268">
        <f t="array" ref="M415">IF(ISERROR(K415/L408),"",K415/(L408/1000))</f>
        <v>3.5544336118848654</v>
      </c>
      <c r="N415" s="268"/>
      <c r="O415" s="299"/>
      <c r="P415" s="299"/>
      <c r="Q415" s="261" t="s">
        <v>205</v>
      </c>
      <c r="R415" s="261"/>
      <c r="S415" s="336">
        <v>0.75</v>
      </c>
      <c r="T415" s="337"/>
      <c r="U415" s="262">
        <v>0</v>
      </c>
      <c r="V415" s="262"/>
      <c r="W415" s="261">
        <f t="shared" si="60"/>
        <v>8.625</v>
      </c>
      <c r="X415" s="261"/>
      <c r="Y415" s="261">
        <f t="shared" si="61"/>
        <v>0</v>
      </c>
      <c r="Z415" s="261"/>
      <c r="AA415" s="261">
        <f t="shared" si="59"/>
        <v>-8.625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>
        <f>28385.7*120+44578.3*60</f>
        <v>6080982</v>
      </c>
      <c r="H416" s="301"/>
      <c r="I416" s="263">
        <f>28379.9*120+44570.1*60</f>
        <v>6079794</v>
      </c>
      <c r="J416" s="264"/>
      <c r="K416" s="267">
        <f>G416-I416</f>
        <v>1188</v>
      </c>
      <c r="L416" s="267"/>
      <c r="M416" s="268">
        <f t="array" ref="M416">IF(ISERROR(K416/L408),"",K416/(L408/1000))</f>
        <v>86.17688022284122</v>
      </c>
      <c r="N416" s="268"/>
      <c r="O416" s="299"/>
      <c r="P416" s="299"/>
      <c r="Q416" s="261" t="s">
        <v>208</v>
      </c>
      <c r="R416" s="261"/>
      <c r="S416" s="336">
        <v>1.5</v>
      </c>
      <c r="T416" s="337"/>
      <c r="U416" s="262">
        <v>0</v>
      </c>
      <c r="V416" s="262"/>
      <c r="W416" s="261">
        <f t="shared" si="60"/>
        <v>17.25</v>
      </c>
      <c r="X416" s="261"/>
      <c r="Y416" s="261">
        <f t="shared" si="61"/>
        <v>0</v>
      </c>
      <c r="Z416" s="261"/>
      <c r="AA416" s="261">
        <f t="shared" si="59"/>
        <v>-17.25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>
        <f t="array" ref="M417">IF(ISERROR(K417/L408),"",K417/(L408/1000))</f>
        <v>0</v>
      </c>
      <c r="N417" s="271"/>
      <c r="O417" s="299"/>
      <c r="P417" s="299"/>
      <c r="Q417" s="261" t="s">
        <v>211</v>
      </c>
      <c r="R417" s="261"/>
      <c r="S417" s="336">
        <v>1</v>
      </c>
      <c r="T417" s="337"/>
      <c r="U417" s="262">
        <v>0</v>
      </c>
      <c r="V417" s="262"/>
      <c r="W417" s="261">
        <f t="shared" si="60"/>
        <v>11.5</v>
      </c>
      <c r="X417" s="261"/>
      <c r="Y417" s="261">
        <f t="shared" si="61"/>
        <v>0</v>
      </c>
      <c r="Z417" s="261"/>
      <c r="AA417" s="261">
        <f t="shared" si="59"/>
        <v>-11.5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 t="s">
        <v>319</v>
      </c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36">
        <v>3</v>
      </c>
      <c r="T418" s="337"/>
      <c r="U418" s="262">
        <v>2</v>
      </c>
      <c r="V418" s="262"/>
      <c r="W418" s="261">
        <f t="shared" si="60"/>
        <v>34.5</v>
      </c>
      <c r="X418" s="261"/>
      <c r="Y418" s="261">
        <f t="shared" si="61"/>
        <v>23</v>
      </c>
      <c r="Z418" s="261"/>
      <c r="AA418" s="261">
        <f t="shared" si="59"/>
        <v>-11.5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17</v>
      </c>
      <c r="T419" s="262"/>
      <c r="U419" s="262">
        <f>SUM(U412:V418)</f>
        <v>17</v>
      </c>
      <c r="V419" s="262"/>
      <c r="W419" s="261">
        <f t="shared" si="60"/>
        <v>195.5</v>
      </c>
      <c r="X419" s="261"/>
      <c r="Y419" s="261">
        <f t="shared" si="61"/>
        <v>195.5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>
        <f t="array" ref="S420">IF(ISERROR(L408/Y419),"",L408/Y419)</f>
        <v>70.514578005115098</v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25034.113333333335</v>
      </c>
      <c r="D423" s="315"/>
      <c r="E423" s="311" t="s">
        <v>226</v>
      </c>
      <c r="F423" s="311"/>
      <c r="G423" s="311">
        <f>L199+L408</f>
        <v>24555.313333333332</v>
      </c>
      <c r="H423" s="311"/>
      <c r="I423" s="318" t="s">
        <v>227</v>
      </c>
      <c r="J423" s="318"/>
      <c r="K423" s="317">
        <f>IF(ISERROR(G423/C423),"",G423/C423)</f>
        <v>0.98087409793090319</v>
      </c>
      <c r="L423" s="317"/>
      <c r="M423" s="311" t="s">
        <v>228</v>
      </c>
      <c r="N423" s="311"/>
      <c r="O423" s="312">
        <f>IF(ISERROR(G423/G424),"",G423/G424)</f>
        <v>80.115214790647087</v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401.74625491111306</v>
      </c>
      <c r="D424" s="315"/>
      <c r="E424" s="316" t="s">
        <v>18</v>
      </c>
      <c r="F424" s="316"/>
      <c r="G424" s="311">
        <f>R199+R408</f>
        <v>306.5</v>
      </c>
      <c r="H424" s="311"/>
      <c r="I424" s="291" t="s">
        <v>176</v>
      </c>
      <c r="J424" s="291"/>
      <c r="K424" s="317">
        <f>IF(ISERROR(C424/G424),"",C424/G424)</f>
        <v>1.3107545021569758</v>
      </c>
      <c r="L424" s="317"/>
      <c r="M424" s="257" t="s">
        <v>230</v>
      </c>
      <c r="N424" s="257"/>
      <c r="O424" s="311">
        <f>W200+W409</f>
        <v>11.5</v>
      </c>
      <c r="P424" s="257"/>
      <c r="Q424" s="257" t="s">
        <v>231</v>
      </c>
      <c r="R424" s="257"/>
      <c r="S424" s="317">
        <f t="array" ref="S424">IF(ISERROR(O424/G424),"",O424/G424)</f>
        <v>3.7520391517128875E-2</v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107</v>
      </c>
      <c r="D426" s="315"/>
      <c r="E426" s="311" t="s">
        <v>234</v>
      </c>
      <c r="F426" s="311"/>
      <c r="G426" s="271">
        <f t="array" ref="G426">IF(ISERROR(C426/G423),"",C426/(G423/1000))</f>
        <v>4.3575090469218205</v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2322</v>
      </c>
      <c r="D427" s="315"/>
      <c r="E427" s="311" t="s">
        <v>236</v>
      </c>
      <c r="F427" s="311"/>
      <c r="G427" s="271">
        <f>IF(ISERROR(C427/G423),"",C427/(G423/1000))</f>
        <v>94.562018756565124</v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>
        <f>IF(ISERROR(C428/G423),"",C428/(G423/1000))</f>
        <v>0</v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 t="e">
        <f>K209+K418</f>
        <v>#VALUE!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>
        <f>IF(ISERROR(C430/G423),"",C430/(G423/1000))</f>
        <v>0</v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4731.3999999999996</v>
      </c>
      <c r="D433" s="324"/>
      <c r="E433" s="311" t="s">
        <v>251</v>
      </c>
      <c r="F433" s="311"/>
      <c r="G433" s="325">
        <f>+G412+G203</f>
        <v>4871.3999999999996</v>
      </c>
      <c r="H433" s="326"/>
      <c r="I433" s="311" t="s">
        <v>252</v>
      </c>
      <c r="J433" s="311"/>
      <c r="K433" s="293">
        <f>G433-C433</f>
        <v>140</v>
      </c>
      <c r="L433" s="295"/>
      <c r="M433" s="327" t="s">
        <v>253</v>
      </c>
      <c r="N433" s="328"/>
      <c r="O433" s="321">
        <f t="array" ref="O433">IF(ISERROR(K433/C433),"",K433/C433)</f>
        <v>2.9589550661537813E-2</v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3</v>
      </c>
      <c r="D437" s="209">
        <v>3</v>
      </c>
      <c r="E437" s="150"/>
      <c r="F437" s="150"/>
      <c r="G437" s="150"/>
      <c r="H437" s="151"/>
      <c r="I437" s="151"/>
      <c r="J437" s="83">
        <f t="shared" ref="J437:J452" si="63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3</v>
      </c>
      <c r="R437" s="155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5</v>
      </c>
      <c r="D438" s="209">
        <v>5</v>
      </c>
      <c r="E438" s="150"/>
      <c r="F438" s="150"/>
      <c r="G438" s="150"/>
      <c r="H438" s="151"/>
      <c r="I438" s="151"/>
      <c r="J438" s="83">
        <f t="shared" si="63"/>
        <v>5</v>
      </c>
      <c r="K438" s="67"/>
      <c r="L438" s="67"/>
      <c r="M438" s="67"/>
      <c r="N438" s="67"/>
      <c r="O438" s="67"/>
      <c r="P438" s="118"/>
      <c r="Q438" s="83">
        <f t="shared" si="64"/>
        <v>5</v>
      </c>
      <c r="R438" s="155">
        <f t="shared" ref="R438:R443" si="65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3</v>
      </c>
      <c r="D439" s="209">
        <v>3</v>
      </c>
      <c r="E439" s="150"/>
      <c r="F439" s="150"/>
      <c r="G439" s="150"/>
      <c r="H439" s="151"/>
      <c r="I439" s="151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5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11</v>
      </c>
      <c r="D440" s="209">
        <v>11</v>
      </c>
      <c r="E440" s="150"/>
      <c r="F440" s="150"/>
      <c r="G440" s="150"/>
      <c r="H440" s="151"/>
      <c r="I440" s="151">
        <v>9</v>
      </c>
      <c r="J440" s="83">
        <f t="shared" si="63"/>
        <v>2</v>
      </c>
      <c r="K440" s="67">
        <v>1</v>
      </c>
      <c r="L440" s="67"/>
      <c r="M440" s="67"/>
      <c r="N440" s="67"/>
      <c r="O440" s="67"/>
      <c r="P440" s="118"/>
      <c r="Q440" s="83">
        <f t="shared" si="64"/>
        <v>1</v>
      </c>
      <c r="R440" s="155">
        <f t="shared" si="65"/>
        <v>11</v>
      </c>
      <c r="S440" s="101">
        <f t="array" ref="S440">IF(ISERROR(Q440/J440),"",Q440/J440)</f>
        <v>0.5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209">
        <v>0</v>
      </c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2</v>
      </c>
      <c r="D442" s="209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5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24</v>
      </c>
      <c r="D443" s="68">
        <f>SUM(D437:D442)</f>
        <v>24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9</v>
      </c>
      <c r="J443" s="84">
        <f t="shared" si="63"/>
        <v>15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14</v>
      </c>
      <c r="R443" s="155">
        <f t="shared" si="65"/>
        <v>154</v>
      </c>
      <c r="S443" s="120">
        <f t="array" ref="S443">IF(ISERROR(Q443/J443),"",Q443/J443)</f>
        <v>0.93333333333333335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4</v>
      </c>
      <c r="D444" s="209">
        <v>4</v>
      </c>
      <c r="E444" s="67"/>
      <c r="F444" s="67"/>
      <c r="G444" s="67"/>
      <c r="H444" s="67"/>
      <c r="I444" s="67"/>
      <c r="J444" s="83">
        <f t="shared" si="63"/>
        <v>4</v>
      </c>
      <c r="K444" s="67"/>
      <c r="L444" s="67"/>
      <c r="M444" s="67"/>
      <c r="N444" s="67"/>
      <c r="O444" s="67"/>
      <c r="P444" s="67"/>
      <c r="Q444" s="83">
        <f t="shared" si="64"/>
        <v>4</v>
      </c>
      <c r="R444" s="155">
        <f>Q444*11.5-M444-N444</f>
        <v>46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2</v>
      </c>
      <c r="D445" s="209">
        <v>2</v>
      </c>
      <c r="E445" s="67"/>
      <c r="F445" s="67"/>
      <c r="G445" s="67"/>
      <c r="H445" s="67"/>
      <c r="I445" s="67"/>
      <c r="J445" s="83">
        <f t="shared" si="63"/>
        <v>2</v>
      </c>
      <c r="K445" s="67"/>
      <c r="L445" s="67"/>
      <c r="M445" s="67"/>
      <c r="N445" s="67"/>
      <c r="O445" s="67"/>
      <c r="P445" s="67"/>
      <c r="Q445" s="83">
        <f t="shared" si="64"/>
        <v>2</v>
      </c>
      <c r="R445" s="155">
        <f t="shared" ref="R445:R450" si="68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3</v>
      </c>
      <c r="D446" s="209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5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15</v>
      </c>
      <c r="D447" s="209">
        <v>15</v>
      </c>
      <c r="E447" s="67"/>
      <c r="F447" s="67"/>
      <c r="G447" s="67"/>
      <c r="H447" s="67"/>
      <c r="I447" s="67">
        <v>9</v>
      </c>
      <c r="J447" s="83">
        <f t="shared" si="63"/>
        <v>6</v>
      </c>
      <c r="K447" s="67">
        <v>1</v>
      </c>
      <c r="L447" s="67"/>
      <c r="M447" s="67"/>
      <c r="N447" s="67"/>
      <c r="O447" s="67"/>
      <c r="P447" s="67"/>
      <c r="Q447" s="83">
        <f t="shared" si="64"/>
        <v>5</v>
      </c>
      <c r="R447" s="155">
        <f t="shared" si="68"/>
        <v>57.5</v>
      </c>
      <c r="S447" s="101">
        <f t="array" ref="S447">IF(ISERROR(Q447/J447),"",Q447/J447)</f>
        <v>0.83333333333333337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1</v>
      </c>
      <c r="D448" s="209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5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2</v>
      </c>
      <c r="D449" s="209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5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27</v>
      </c>
      <c r="D450" s="69">
        <f t="shared" ref="D450" si="69">SUM(D444:D449)</f>
        <v>27</v>
      </c>
      <c r="E450" s="69">
        <f t="shared" ref="E450:I450" si="70">SUM(E444:E449)</f>
        <v>0</v>
      </c>
      <c r="F450" s="69">
        <f t="shared" si="70"/>
        <v>0</v>
      </c>
      <c r="G450" s="69">
        <f t="shared" si="70"/>
        <v>0</v>
      </c>
      <c r="H450" s="69">
        <f t="shared" si="70"/>
        <v>0</v>
      </c>
      <c r="I450" s="69">
        <f t="shared" si="70"/>
        <v>9</v>
      </c>
      <c r="J450" s="85">
        <f t="shared" si="63"/>
        <v>18</v>
      </c>
      <c r="K450" s="69">
        <f t="shared" ref="K450:P450" si="71">SUM(K444:K449)</f>
        <v>1</v>
      </c>
      <c r="L450" s="69">
        <f t="shared" si="71"/>
        <v>0</v>
      </c>
      <c r="M450" s="69">
        <f t="shared" si="71"/>
        <v>0</v>
      </c>
      <c r="N450" s="69">
        <f t="shared" si="71"/>
        <v>0</v>
      </c>
      <c r="O450" s="69">
        <f t="shared" si="71"/>
        <v>0</v>
      </c>
      <c r="P450" s="69">
        <f t="shared" si="71"/>
        <v>0</v>
      </c>
      <c r="Q450" s="83">
        <f t="shared" si="64"/>
        <v>17</v>
      </c>
      <c r="R450" s="155">
        <f t="shared" si="68"/>
        <v>195.5</v>
      </c>
      <c r="S450" s="122">
        <f t="array" ref="S450">IF(ISERROR(Q450/J450),"",Q450/J450)</f>
        <v>0.94444444444444442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2</v>
      </c>
      <c r="D451" s="210">
        <v>2</v>
      </c>
      <c r="E451" s="150"/>
      <c r="F451" s="150"/>
      <c r="G451" s="150"/>
      <c r="H451" s="151"/>
      <c r="I451" s="83"/>
      <c r="J451" s="83">
        <f t="shared" si="63"/>
        <v>2</v>
      </c>
      <c r="K451" s="151"/>
      <c r="L451" s="151"/>
      <c r="M451" s="151"/>
      <c r="N451" s="151"/>
      <c r="O451" s="151"/>
      <c r="P451" s="166"/>
      <c r="Q451" s="83">
        <f t="shared" si="64"/>
        <v>2</v>
      </c>
      <c r="R451" s="155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53</v>
      </c>
      <c r="D452" s="69">
        <f>+D451+D450+D443</f>
        <v>53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18</v>
      </c>
      <c r="J452" s="85">
        <f t="shared" si="63"/>
        <v>35</v>
      </c>
      <c r="K452" s="69">
        <f t="shared" ref="K452:P452" si="72">+K443+K450+K451</f>
        <v>2</v>
      </c>
      <c r="L452" s="69">
        <f t="shared" si="72"/>
        <v>0</v>
      </c>
      <c r="M452" s="69">
        <f t="shared" si="72"/>
        <v>0</v>
      </c>
      <c r="N452" s="69">
        <f t="shared" si="72"/>
        <v>0</v>
      </c>
      <c r="O452" s="69">
        <f t="shared" si="72"/>
        <v>0</v>
      </c>
      <c r="P452" s="69">
        <f t="shared" si="72"/>
        <v>0</v>
      </c>
      <c r="Q452" s="83">
        <f t="shared" si="64"/>
        <v>33</v>
      </c>
      <c r="R452" s="67">
        <f>R443+R450+R451</f>
        <v>371.5</v>
      </c>
      <c r="S452" s="123">
        <f t="array" ref="S452">IF(ISERROR(Q452/J452),"",Q452/J452)</f>
        <v>0.94285714285714284</v>
      </c>
      <c r="T452" s="16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9"/>
  <dimension ref="A1:AC454"/>
  <sheetViews>
    <sheetView workbookViewId="0">
      <pane xSplit="5" ySplit="25" topLeftCell="F438" activePane="bottomRight" state="frozen"/>
      <selection pane="topRight" activeCell="F1" sqref="F1"/>
      <selection pane="bottomLeft" activeCell="A26" sqref="A26"/>
      <selection pane="bottomRight" activeCell="D437" sqref="D437:D45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hidden="1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hidden="1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hidden="1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hidden="1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hidden="1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hidden="1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hidden="1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hidden="1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hidden="1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hidden="1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hidden="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>
        <v>3004</v>
      </c>
      <c r="C26" s="226" t="s">
        <v>51</v>
      </c>
      <c r="D26" s="226"/>
      <c r="E26" s="163" t="s">
        <v>41</v>
      </c>
      <c r="F26" s="13"/>
      <c r="G26" s="208">
        <v>4</v>
      </c>
      <c r="H26" s="208"/>
      <c r="I26" s="208">
        <v>4</v>
      </c>
      <c r="J26" s="110"/>
      <c r="K26" s="161">
        <f t="shared" si="0"/>
        <v>2098.4</v>
      </c>
      <c r="L26" s="161">
        <f t="shared" si="1"/>
        <v>2098.4</v>
      </c>
      <c r="M26" s="161">
        <v>524.6</v>
      </c>
      <c r="N26" s="161">
        <f>+M26*1000/(25.4*20*15*60)*T26</f>
        <v>3.4422572178477688</v>
      </c>
      <c r="O26" s="161">
        <v>0.5</v>
      </c>
      <c r="P26" s="161">
        <f t="shared" si="2"/>
        <v>15.269028871391075</v>
      </c>
      <c r="Q26" s="161">
        <v>3.5</v>
      </c>
      <c r="R26" s="19">
        <f t="shared" si="3"/>
        <v>10.5</v>
      </c>
      <c r="S26" s="161">
        <f t="shared" si="4"/>
        <v>-4.7690288713910753</v>
      </c>
      <c r="T26" s="20">
        <v>3</v>
      </c>
      <c r="U26" s="20">
        <v>3</v>
      </c>
      <c r="V26" s="158">
        <f t="array" ref="V26">IF(ISERROR(L26/K26),"",L26/K26)</f>
        <v>1</v>
      </c>
      <c r="W26" s="20"/>
      <c r="X26" s="20"/>
      <c r="Y26" s="20"/>
      <c r="Z26" s="20"/>
      <c r="AA26" s="20">
        <v>1</v>
      </c>
      <c r="AB26" s="20"/>
      <c r="AC26" s="20"/>
    </row>
    <row r="27" spans="1:29" ht="21.95" hidden="1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208"/>
      <c r="H27" s="208"/>
      <c r="I27" s="208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208"/>
      <c r="H28" s="208"/>
      <c r="I28" s="208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212"/>
      <c r="H29" s="212"/>
      <c r="I29" s="212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208"/>
      <c r="H30" s="208"/>
      <c r="I30" s="208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208"/>
      <c r="H31" s="208"/>
      <c r="I31" s="208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208"/>
      <c r="H32" s="208"/>
      <c r="I32" s="208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208"/>
      <c r="H33" s="208"/>
      <c r="I33" s="208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>
        <v>3004</v>
      </c>
      <c r="C34" s="226" t="s">
        <v>56</v>
      </c>
      <c r="D34" s="226"/>
      <c r="E34" s="163" t="s">
        <v>35</v>
      </c>
      <c r="F34" s="13"/>
      <c r="G34" s="208">
        <v>5</v>
      </c>
      <c r="H34" s="208"/>
      <c r="I34" s="208">
        <v>5</v>
      </c>
      <c r="J34" s="110"/>
      <c r="K34" s="161">
        <f t="shared" si="0"/>
        <v>2752</v>
      </c>
      <c r="L34" s="161">
        <f t="shared" si="1"/>
        <v>2752</v>
      </c>
      <c r="M34" s="161">
        <v>550.4</v>
      </c>
      <c r="N34" s="161">
        <f>+M34*1000/(31*20*15*60)*T34</f>
        <v>2.9591397849462364</v>
      </c>
      <c r="O34" s="161">
        <v>0.5</v>
      </c>
      <c r="P34" s="161">
        <f t="shared" si="2"/>
        <v>16.295698924731184</v>
      </c>
      <c r="Q34" s="161">
        <v>5</v>
      </c>
      <c r="R34" s="19">
        <f t="shared" si="3"/>
        <v>15</v>
      </c>
      <c r="S34" s="161">
        <f t="shared" si="4"/>
        <v>-1.2956989247311839</v>
      </c>
      <c r="T34" s="20">
        <v>3</v>
      </c>
      <c r="U34" s="20">
        <v>3</v>
      </c>
      <c r="V34" s="158">
        <f t="array" ref="V34">IF(ISERROR(L34/K34),"",L34/K34)</f>
        <v>1</v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208"/>
      <c r="H35" s="208"/>
      <c r="I35" s="208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>
        <v>3004</v>
      </c>
      <c r="C36" s="226" t="s">
        <v>56</v>
      </c>
      <c r="D36" s="226"/>
      <c r="E36" s="163" t="s">
        <v>37</v>
      </c>
      <c r="F36" s="13"/>
      <c r="G36" s="208">
        <f>+I36</f>
        <v>1.2</v>
      </c>
      <c r="H36" s="208">
        <f>100/500</f>
        <v>0.2</v>
      </c>
      <c r="I36" s="208">
        <f>1+H36</f>
        <v>1.2</v>
      </c>
      <c r="J36" s="110"/>
      <c r="K36" s="161">
        <f t="shared" si="0"/>
        <v>660.4799999999999</v>
      </c>
      <c r="L36" s="161">
        <f t="shared" si="1"/>
        <v>660.4799999999999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3.5509677419354837</v>
      </c>
      <c r="Q36" s="161">
        <v>1</v>
      </c>
      <c r="R36" s="19">
        <f t="shared" si="3"/>
        <v>3</v>
      </c>
      <c r="S36" s="161">
        <f t="shared" si="4"/>
        <v>-0.5509677419354837</v>
      </c>
      <c r="T36" s="20">
        <v>3</v>
      </c>
      <c r="U36" s="20">
        <v>3</v>
      </c>
      <c r="V36" s="158">
        <f t="array" ref="V36">IF(ISERROR(L36/K36),"",L36/K36)</f>
        <v>1</v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208"/>
      <c r="H37" s="208"/>
      <c r="I37" s="208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208"/>
      <c r="H38" s="208"/>
      <c r="I38" s="208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208"/>
      <c r="H39" s="208"/>
      <c r="I39" s="208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208"/>
      <c r="H40" s="208"/>
      <c r="I40" s="208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208"/>
      <c r="H41" s="208"/>
      <c r="I41" s="208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208"/>
      <c r="H42" s="208"/>
      <c r="I42" s="208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208"/>
      <c r="H43" s="208"/>
      <c r="I43" s="208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208"/>
      <c r="H44" s="208"/>
      <c r="I44" s="208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208"/>
      <c r="H45" s="208"/>
      <c r="I45" s="208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>
        <v>4503</v>
      </c>
      <c r="C46" s="237" t="s">
        <v>68</v>
      </c>
      <c r="D46" s="238"/>
      <c r="E46" s="163" t="s">
        <v>69</v>
      </c>
      <c r="F46" s="162"/>
      <c r="G46" s="133">
        <v>5</v>
      </c>
      <c r="H46" s="133"/>
      <c r="I46" s="133">
        <v>5</v>
      </c>
      <c r="J46" s="14"/>
      <c r="K46" s="161">
        <f t="shared" si="0"/>
        <v>1928</v>
      </c>
      <c r="L46" s="161">
        <f t="shared" si="1"/>
        <v>1928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12.650918635170603</v>
      </c>
      <c r="Q46" s="161">
        <v>7</v>
      </c>
      <c r="R46" s="19">
        <f t="shared" si="3"/>
        <v>28</v>
      </c>
      <c r="S46" s="161">
        <f t="shared" si="4"/>
        <v>15.349081364829397</v>
      </c>
      <c r="T46" s="20">
        <v>3</v>
      </c>
      <c r="U46" s="20">
        <v>4</v>
      </c>
      <c r="V46" s="217">
        <f t="array" ref="V46">IF(ISERROR(L46/K46),"",L46/K46)</f>
        <v>1</v>
      </c>
      <c r="W46" s="20"/>
      <c r="X46" s="20">
        <v>0.5</v>
      </c>
      <c r="Y46" s="20"/>
      <c r="Z46" s="20"/>
      <c r="AA46" s="20">
        <v>2.5</v>
      </c>
      <c r="AB46" s="20"/>
      <c r="AC46" s="20"/>
    </row>
    <row r="47" spans="1:29" s="2" customFormat="1" ht="21" hidden="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33"/>
      <c r="H47" s="133"/>
      <c r="I47" s="133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217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33"/>
      <c r="H48" s="133"/>
      <c r="I48" s="133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217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33"/>
      <c r="H49" s="133"/>
      <c r="I49" s="133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217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208"/>
      <c r="H50" s="208"/>
      <c r="I50" s="208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21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208"/>
      <c r="H51" s="208"/>
      <c r="I51" s="208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21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208"/>
      <c r="H52" s="208"/>
      <c r="I52" s="208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21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208"/>
      <c r="H53" s="208"/>
      <c r="I53" s="208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21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208"/>
      <c r="H54" s="208"/>
      <c r="I54" s="208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21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208"/>
      <c r="H55" s="208"/>
      <c r="I55" s="208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217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208"/>
      <c r="H56" s="208"/>
      <c r="I56" s="208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217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212"/>
      <c r="H57" s="212"/>
      <c r="I57" s="212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17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208"/>
      <c r="H58" s="208"/>
      <c r="I58" s="208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217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208"/>
      <c r="H59" s="208"/>
      <c r="I59" s="208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217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208"/>
      <c r="H60" s="208"/>
      <c r="I60" s="208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217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208"/>
      <c r="H61" s="208"/>
      <c r="I61" s="208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217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208"/>
      <c r="H62" s="208"/>
      <c r="I62" s="208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217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208"/>
      <c r="H63" s="208"/>
      <c r="I63" s="208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217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208"/>
      <c r="H64" s="208"/>
      <c r="I64" s="208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217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208"/>
      <c r="H65" s="208"/>
      <c r="I65" s="208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217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208"/>
      <c r="H66" s="208"/>
      <c r="I66" s="208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217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208"/>
      <c r="H67" s="208"/>
      <c r="I67" s="208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217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208"/>
      <c r="H68" s="208"/>
      <c r="I68" s="208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217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208"/>
      <c r="H69" s="208"/>
      <c r="I69" s="208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217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208"/>
      <c r="H70" s="208"/>
      <c r="I70" s="208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217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208"/>
      <c r="H71" s="208"/>
      <c r="I71" s="208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217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208"/>
      <c r="H72" s="208"/>
      <c r="I72" s="208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217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208"/>
      <c r="H73" s="208"/>
      <c r="I73" s="208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217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213"/>
      <c r="H74" s="213"/>
      <c r="I74" s="213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17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208"/>
      <c r="H75" s="208"/>
      <c r="I75" s="208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217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208"/>
      <c r="H76" s="208"/>
      <c r="I76" s="208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217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208"/>
      <c r="H77" s="208"/>
      <c r="I77" s="208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217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208"/>
      <c r="H78" s="208"/>
      <c r="I78" s="208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217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208"/>
      <c r="H79" s="208"/>
      <c r="I79" s="208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217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208"/>
      <c r="H80" s="208"/>
      <c r="I80" s="208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217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208"/>
      <c r="H81" s="208"/>
      <c r="I81" s="208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217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208"/>
      <c r="H82" s="208"/>
      <c r="I82" s="208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217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212"/>
      <c r="H83" s="212"/>
      <c r="I83" s="212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17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208"/>
      <c r="H84" s="208"/>
      <c r="I84" s="208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217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208"/>
      <c r="H85" s="208"/>
      <c r="I85" s="208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217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>
        <v>5001</v>
      </c>
      <c r="C86" s="226" t="s">
        <v>100</v>
      </c>
      <c r="D86" s="226" t="s">
        <v>103</v>
      </c>
      <c r="E86" s="163" t="s">
        <v>66</v>
      </c>
      <c r="F86" s="162"/>
      <c r="G86" s="208">
        <v>2</v>
      </c>
      <c r="H86" s="208"/>
      <c r="I86" s="208">
        <v>2</v>
      </c>
      <c r="J86" s="110"/>
      <c r="K86" s="161">
        <f t="shared" si="7"/>
        <v>831</v>
      </c>
      <c r="L86" s="161">
        <f t="shared" si="8"/>
        <v>831</v>
      </c>
      <c r="M86" s="161">
        <v>415.5</v>
      </c>
      <c r="N86" s="15">
        <f>+M86*1000/(51*1*110*60)*T86</f>
        <v>8.6408199643493759</v>
      </c>
      <c r="O86" s="161">
        <v>0.5</v>
      </c>
      <c r="P86" s="161">
        <f t="shared" si="9"/>
        <v>19.781639928698752</v>
      </c>
      <c r="Q86" s="161">
        <v>2</v>
      </c>
      <c r="R86" s="19">
        <f t="shared" si="10"/>
        <v>10</v>
      </c>
      <c r="S86" s="161">
        <f t="shared" si="11"/>
        <v>-9.7816399286987519</v>
      </c>
      <c r="T86" s="20">
        <v>7</v>
      </c>
      <c r="U86" s="20">
        <v>5</v>
      </c>
      <c r="V86" s="217">
        <f t="array" ref="V86">IF(ISERROR(L86/K86),"",L86/K86)</f>
        <v>1</v>
      </c>
      <c r="W86" s="20"/>
      <c r="X86" s="20"/>
      <c r="Y86" s="20"/>
      <c r="Z86" s="20"/>
      <c r="AA86" s="20">
        <v>1</v>
      </c>
      <c r="AB86" s="20"/>
      <c r="AC86" s="20"/>
    </row>
    <row r="87" spans="1:29" s="2" customFormat="1" ht="21.95" customHeight="1">
      <c r="A87" s="157">
        <v>300385</v>
      </c>
      <c r="B87" s="150">
        <v>5001</v>
      </c>
      <c r="C87" s="226" t="s">
        <v>100</v>
      </c>
      <c r="D87" s="226" t="s">
        <v>104</v>
      </c>
      <c r="E87" s="163" t="s">
        <v>105</v>
      </c>
      <c r="F87" s="162"/>
      <c r="G87" s="208">
        <v>2</v>
      </c>
      <c r="H87" s="208"/>
      <c r="I87" s="208">
        <v>2</v>
      </c>
      <c r="J87" s="110"/>
      <c r="K87" s="161">
        <f t="shared" si="7"/>
        <v>831</v>
      </c>
      <c r="L87" s="161">
        <f t="shared" si="8"/>
        <v>831</v>
      </c>
      <c r="M87" s="161">
        <v>415.5</v>
      </c>
      <c r="N87" s="15">
        <f>+M87*1000/(51*1*110*60)*T87</f>
        <v>8.6408199643493759</v>
      </c>
      <c r="O87" s="161">
        <v>0.5</v>
      </c>
      <c r="P87" s="161">
        <f t="shared" si="9"/>
        <v>19.781639928698752</v>
      </c>
      <c r="Q87" s="161">
        <v>3</v>
      </c>
      <c r="R87" s="19">
        <f t="shared" si="10"/>
        <v>15</v>
      </c>
      <c r="S87" s="161">
        <f t="shared" si="11"/>
        <v>-4.7816399286987519</v>
      </c>
      <c r="T87" s="20">
        <v>7</v>
      </c>
      <c r="U87" s="20">
        <v>5</v>
      </c>
      <c r="V87" s="217">
        <f t="array" ref="V87">IF(ISERROR(L87/K87),"",L87/K87)</f>
        <v>1</v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208"/>
      <c r="H88" s="208"/>
      <c r="I88" s="208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208"/>
      <c r="H89" s="208"/>
      <c r="I89" s="208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208"/>
      <c r="H90" s="208"/>
      <c r="I90" s="208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208"/>
      <c r="H91" s="208"/>
      <c r="I91" s="208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208"/>
      <c r="H92" s="208"/>
      <c r="I92" s="208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208"/>
      <c r="H93" s="208"/>
      <c r="I93" s="208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208"/>
      <c r="H94" s="208"/>
      <c r="I94" s="208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208"/>
      <c r="H95" s="208"/>
      <c r="I95" s="208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208"/>
      <c r="H96" s="208"/>
      <c r="I96" s="208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213"/>
      <c r="H97" s="213"/>
      <c r="I97" s="213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208"/>
      <c r="H98" s="208"/>
      <c r="I98" s="208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208"/>
      <c r="H99" s="208"/>
      <c r="I99" s="208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208"/>
      <c r="H100" s="208"/>
      <c r="I100" s="208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208"/>
      <c r="H101" s="208"/>
      <c r="I101" s="208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208"/>
      <c r="H102" s="208"/>
      <c r="I102" s="208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208"/>
      <c r="H103" s="208"/>
      <c r="I103" s="208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208"/>
      <c r="H104" s="208"/>
      <c r="I104" s="208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208"/>
      <c r="H105" s="208"/>
      <c r="I105" s="208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>
        <v>5001</v>
      </c>
      <c r="C106" s="240" t="s">
        <v>114</v>
      </c>
      <c r="D106" s="241"/>
      <c r="E106" s="24" t="s">
        <v>115</v>
      </c>
      <c r="F106" s="25"/>
      <c r="G106" s="213">
        <v>2</v>
      </c>
      <c r="H106" s="213"/>
      <c r="I106" s="213">
        <v>2</v>
      </c>
      <c r="J106" s="111"/>
      <c r="K106" s="28">
        <f t="shared" si="7"/>
        <v>834.8</v>
      </c>
      <c r="L106" s="28">
        <f t="shared" si="8"/>
        <v>834.8</v>
      </c>
      <c r="M106" s="28">
        <v>417.4</v>
      </c>
      <c r="N106" s="28">
        <f>+M106*1000/(87*1*80*60)*T106</f>
        <v>3.9980842911877397</v>
      </c>
      <c r="O106" s="28">
        <v>0.5</v>
      </c>
      <c r="P106" s="28">
        <f t="shared" si="9"/>
        <v>10.496168582375478</v>
      </c>
      <c r="Q106" s="28">
        <v>1.5</v>
      </c>
      <c r="R106" s="29">
        <f t="shared" si="10"/>
        <v>7.5</v>
      </c>
      <c r="S106" s="28">
        <f t="shared" si="11"/>
        <v>-2.9961685823754785</v>
      </c>
      <c r="T106" s="30">
        <v>4</v>
      </c>
      <c r="U106" s="30">
        <v>5</v>
      </c>
      <c r="V106" s="112">
        <f t="array" ref="V106">IF(ISERROR(L106/K106),"",L106/K106)</f>
        <v>1</v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>
        <v>5001</v>
      </c>
      <c r="C107" s="240" t="s">
        <v>114</v>
      </c>
      <c r="D107" s="241"/>
      <c r="E107" s="24" t="s">
        <v>117</v>
      </c>
      <c r="F107" s="25"/>
      <c r="G107" s="213">
        <v>2</v>
      </c>
      <c r="H107" s="213"/>
      <c r="I107" s="213">
        <v>2</v>
      </c>
      <c r="J107" s="111"/>
      <c r="K107" s="28">
        <f t="shared" si="7"/>
        <v>834.8</v>
      </c>
      <c r="L107" s="28">
        <f t="shared" si="8"/>
        <v>834.8</v>
      </c>
      <c r="M107" s="28">
        <v>417.4</v>
      </c>
      <c r="N107" s="28">
        <f>+M107*1000/(87*1*80*60)*T107</f>
        <v>3.9980842911877397</v>
      </c>
      <c r="O107" s="28">
        <v>0.5</v>
      </c>
      <c r="P107" s="28">
        <f t="shared" si="9"/>
        <v>10.496168582375478</v>
      </c>
      <c r="Q107" s="28">
        <v>1.5</v>
      </c>
      <c r="R107" s="29">
        <f t="shared" si="10"/>
        <v>7.5</v>
      </c>
      <c r="S107" s="28">
        <f t="shared" si="11"/>
        <v>-2.9961685823754785</v>
      </c>
      <c r="T107" s="30">
        <v>4</v>
      </c>
      <c r="U107" s="30">
        <v>5</v>
      </c>
      <c r="V107" s="112">
        <f t="array" ref="V107">IF(ISERROR(L107/K107),"",L107/K107)</f>
        <v>1</v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213"/>
      <c r="H108" s="213"/>
      <c r="I108" s="213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213"/>
      <c r="H109" s="213"/>
      <c r="I109" s="213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>
        <v>5001</v>
      </c>
      <c r="C110" s="240" t="s">
        <v>305</v>
      </c>
      <c r="D110" s="241"/>
      <c r="E110" s="125" t="s">
        <v>308</v>
      </c>
      <c r="F110" s="25"/>
      <c r="G110" s="213">
        <f>+I110</f>
        <v>1.25</v>
      </c>
      <c r="H110" s="213">
        <f>150/600</f>
        <v>0.25</v>
      </c>
      <c r="I110" s="213">
        <f>1+H110</f>
        <v>1.25</v>
      </c>
      <c r="J110" s="111"/>
      <c r="K110" s="28">
        <f t="shared" si="7"/>
        <v>786</v>
      </c>
      <c r="L110" s="28">
        <f t="shared" si="8"/>
        <v>786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7.5287356321839081</v>
      </c>
      <c r="Q110" s="28">
        <v>1.5</v>
      </c>
      <c r="R110" s="29">
        <f t="shared" si="10"/>
        <v>7.5</v>
      </c>
      <c r="S110" s="28">
        <f t="shared" si="11"/>
        <v>-2.8735632183908066E-2</v>
      </c>
      <c r="T110" s="30">
        <v>4</v>
      </c>
      <c r="U110" s="30">
        <v>5</v>
      </c>
      <c r="V110" s="217">
        <f t="array" ref="V110">IF(ISERROR(L110/K110),"",L110/K110)</f>
        <v>1</v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24.45</v>
      </c>
      <c r="H199" s="161">
        <f t="array" ref="H199">SUM(IF(ISERROR(H6:H198),“”,H6:H198))</f>
        <v>0.45</v>
      </c>
      <c r="I199" s="161">
        <f t="array" ref="I199">SUM(IF(ISERROR(I6:I198),“”,I6:I198))</f>
        <v>24.45</v>
      </c>
      <c r="J199" s="161">
        <f t="array" ref="J199">SUM(IF(ISERROR(J6:J198),“”,J6:J198))</f>
        <v>0</v>
      </c>
      <c r="K199" s="161">
        <f t="array" ref="K199">SUM(IF(ISERROR(K6:K198),“”,K6:K198))</f>
        <v>11556.479999999998</v>
      </c>
      <c r="L199" s="56">
        <f>SUM(L6:L198)</f>
        <v>11556.479999999998</v>
      </c>
      <c r="M199" s="161"/>
      <c r="N199" s="161"/>
      <c r="O199" s="161">
        <f>SUM(O6:O190)</f>
        <v>3</v>
      </c>
      <c r="P199" s="56">
        <f>SUM((P6:P190),(W204:X209))</f>
        <v>214.85096682756071</v>
      </c>
      <c r="Q199" s="161"/>
      <c r="R199" s="56">
        <f>SUM((R6:R190),(Y204:Z209))</f>
        <v>181</v>
      </c>
      <c r="S199" s="161">
        <f t="array" ref="S199">SUM(IF(ISERROR(S6:S198),“”,S6:S198))</f>
        <v>-11.850966827560715</v>
      </c>
      <c r="T199" s="161"/>
      <c r="U199" s="161"/>
      <c r="V199" s="158">
        <f>IF(ISERROR(L199/K199),"",L199/K199)</f>
        <v>1</v>
      </c>
      <c r="W199" s="161">
        <f t="array" ref="W199">SUM(IF(ISERROR(W6:W198),“”,W6:W198))</f>
        <v>0</v>
      </c>
      <c r="X199" s="161">
        <f t="array" ref="X199">SUM(IF(ISERROR(X6:X198),“”,X6:X198))</f>
        <v>0.5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4.5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>
        <f>IF(ISERROR(P199/R199),"",P199/R199)</f>
        <v>1.1870219161743685</v>
      </c>
      <c r="P200" s="252"/>
      <c r="Q200" s="252"/>
      <c r="R200" s="253"/>
      <c r="S200" s="44"/>
      <c r="T200" s="45"/>
      <c r="U200" s="45"/>
      <c r="V200" s="45"/>
      <c r="W200" s="254">
        <f>SUM(W199:AC199)</f>
        <v>5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>
        <v>0</v>
      </c>
      <c r="F202" s="257"/>
      <c r="G202" s="257">
        <v>0</v>
      </c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>
        <v>1760.4</v>
      </c>
      <c r="F203" s="257"/>
      <c r="G203" s="257">
        <v>1830.4</v>
      </c>
      <c r="H203" s="257"/>
      <c r="I203" s="257">
        <f>G203-E203</f>
        <v>70</v>
      </c>
      <c r="J203" s="257"/>
      <c r="K203" s="259">
        <f t="array" ref="K203">IF(ISERROR(I203/E203),"",I203/E203)</f>
        <v>3.9763690070438534E-2</v>
      </c>
      <c r="L203" s="259"/>
      <c r="M203" s="244"/>
      <c r="N203" s="245"/>
      <c r="O203" s="260"/>
      <c r="P203" s="260"/>
      <c r="Q203" s="261" t="s">
        <v>193</v>
      </c>
      <c r="R203" s="261"/>
      <c r="S203" s="262">
        <v>8</v>
      </c>
      <c r="T203" s="262"/>
      <c r="U203" s="262">
        <f>2+3+5</f>
        <v>10</v>
      </c>
      <c r="V203" s="262"/>
      <c r="W203" s="261">
        <f t="shared" ref="W203:W210" si="28">S203*11</f>
        <v>88</v>
      </c>
      <c r="X203" s="261"/>
      <c r="Y203" s="261">
        <f t="shared" ref="Y203:Y210" si="29">U203*11</f>
        <v>110</v>
      </c>
      <c r="Z203" s="261"/>
      <c r="AA203" s="261">
        <f t="shared" ref="AA203:AA210" si="30">Y203-W203</f>
        <v>22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>
        <v>0</v>
      </c>
      <c r="F204" s="257"/>
      <c r="G204" s="257">
        <v>0</v>
      </c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>
        <v>2</v>
      </c>
      <c r="T204" s="262"/>
      <c r="U204" s="262">
        <v>3</v>
      </c>
      <c r="V204" s="262"/>
      <c r="W204" s="261">
        <f t="shared" si="28"/>
        <v>22</v>
      </c>
      <c r="X204" s="261"/>
      <c r="Y204" s="261">
        <f t="shared" si="29"/>
        <v>33</v>
      </c>
      <c r="Z204" s="261"/>
      <c r="AA204" s="261">
        <f t="shared" si="30"/>
        <v>11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336">
        <v>0.75</v>
      </c>
      <c r="T205" s="337"/>
      <c r="U205" s="262">
        <v>0</v>
      </c>
      <c r="V205" s="262"/>
      <c r="W205" s="261">
        <f t="shared" si="28"/>
        <v>8.25</v>
      </c>
      <c r="X205" s="261"/>
      <c r="Y205" s="261">
        <f t="shared" si="29"/>
        <v>0</v>
      </c>
      <c r="Z205" s="261"/>
      <c r="AA205" s="261">
        <f t="shared" si="30"/>
        <v>-8.25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>
        <f>147505</f>
        <v>147505</v>
      </c>
      <c r="H206" s="264"/>
      <c r="I206" s="302">
        <v>147452</v>
      </c>
      <c r="J206" s="302"/>
      <c r="K206" s="267">
        <f>G206-I206</f>
        <v>53</v>
      </c>
      <c r="L206" s="267"/>
      <c r="M206" s="268">
        <f t="array" ref="M206">IF(ISERROR(K206/L199),"",K206/(L199/1000))</f>
        <v>4.5861715678130377</v>
      </c>
      <c r="N206" s="268"/>
      <c r="O206" s="260"/>
      <c r="P206" s="260"/>
      <c r="Q206" s="261" t="s">
        <v>205</v>
      </c>
      <c r="R206" s="261"/>
      <c r="S206" s="336">
        <v>0.75</v>
      </c>
      <c r="T206" s="337"/>
      <c r="U206" s="262">
        <v>1</v>
      </c>
      <c r="V206" s="262"/>
      <c r="W206" s="261">
        <f t="shared" si="28"/>
        <v>8.25</v>
      </c>
      <c r="X206" s="261"/>
      <c r="Y206" s="261">
        <f t="shared" si="29"/>
        <v>11</v>
      </c>
      <c r="Z206" s="261"/>
      <c r="AA206" s="261">
        <f t="shared" si="30"/>
        <v>2.75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>
        <f>28391.9*120+44586*60</f>
        <v>6082188</v>
      </c>
      <c r="H207" s="264"/>
      <c r="I207" s="300">
        <f>28385.7*120+44578.3*60</f>
        <v>6080982</v>
      </c>
      <c r="J207" s="301"/>
      <c r="K207" s="267">
        <f>G207-I207</f>
        <v>1206</v>
      </c>
      <c r="L207" s="267"/>
      <c r="M207" s="268">
        <f t="array" ref="M207">IF(ISERROR(K207/L199),"",K207/(L199/1000))</f>
        <v>104.35703605250045</v>
      </c>
      <c r="N207" s="268"/>
      <c r="O207" s="260"/>
      <c r="P207" s="260"/>
      <c r="Q207" s="261" t="s">
        <v>208</v>
      </c>
      <c r="R207" s="261"/>
      <c r="S207" s="336">
        <v>1.5</v>
      </c>
      <c r="T207" s="337"/>
      <c r="U207" s="262">
        <v>0</v>
      </c>
      <c r="V207" s="262"/>
      <c r="W207" s="261">
        <f t="shared" si="28"/>
        <v>16.5</v>
      </c>
      <c r="X207" s="261"/>
      <c r="Y207" s="261">
        <f t="shared" si="29"/>
        <v>0</v>
      </c>
      <c r="Z207" s="261"/>
      <c r="AA207" s="261">
        <f t="shared" si="30"/>
        <v>-16.5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>
        <f t="array" ref="M208">IF(ISERROR(K208/L199),"",K208/(L199/1000))</f>
        <v>0</v>
      </c>
      <c r="N208" s="271"/>
      <c r="O208" s="260"/>
      <c r="P208" s="260"/>
      <c r="Q208" s="261" t="s">
        <v>211</v>
      </c>
      <c r="R208" s="261"/>
      <c r="S208" s="336">
        <v>1</v>
      </c>
      <c r="T208" s="337"/>
      <c r="U208" s="262">
        <v>1</v>
      </c>
      <c r="V208" s="262"/>
      <c r="W208" s="261">
        <f t="shared" si="28"/>
        <v>11</v>
      </c>
      <c r="X208" s="261"/>
      <c r="Y208" s="261">
        <f t="shared" si="29"/>
        <v>11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 t="s">
        <v>320</v>
      </c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336">
        <v>3</v>
      </c>
      <c r="T209" s="337"/>
      <c r="U209" s="262">
        <v>2</v>
      </c>
      <c r="V209" s="262"/>
      <c r="W209" s="261">
        <f t="shared" si="28"/>
        <v>33</v>
      </c>
      <c r="X209" s="261"/>
      <c r="Y209" s="261">
        <f t="shared" si="29"/>
        <v>22</v>
      </c>
      <c r="Z209" s="261"/>
      <c r="AA209" s="261">
        <f t="shared" si="30"/>
        <v>-11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17</v>
      </c>
      <c r="T210" s="262"/>
      <c r="U210" s="262">
        <f>SUM(U203:V209)</f>
        <v>17</v>
      </c>
      <c r="V210" s="262"/>
      <c r="W210" s="261">
        <f t="shared" si="28"/>
        <v>187</v>
      </c>
      <c r="X210" s="261"/>
      <c r="Y210" s="261">
        <f t="shared" si="29"/>
        <v>187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>
        <f t="array" ref="S211">IF(ISERROR(L199/Y210),"",L199/Y210)</f>
        <v>61.799358288770044</v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hidden="1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hidden="1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hidden="1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hidden="1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hidden="1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hidden="1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hidden="1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hidden="1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hidden="1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hidden="1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hidden="1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>
        <v>3004</v>
      </c>
      <c r="C234" s="226" t="s">
        <v>51</v>
      </c>
      <c r="D234" s="226"/>
      <c r="E234" s="163" t="s">
        <v>40</v>
      </c>
      <c r="F234" s="162"/>
      <c r="G234" s="216">
        <v>4</v>
      </c>
      <c r="H234" s="216"/>
      <c r="I234" s="216">
        <v>4</v>
      </c>
      <c r="J234" s="216"/>
      <c r="K234" s="161">
        <f t="shared" si="31"/>
        <v>2098.4</v>
      </c>
      <c r="L234" s="161">
        <f t="shared" si="32"/>
        <v>2098.4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13.769028871391075</v>
      </c>
      <c r="Q234" s="161">
        <v>4</v>
      </c>
      <c r="R234" s="19">
        <f t="shared" si="35"/>
        <v>12</v>
      </c>
      <c r="S234" s="161">
        <f t="shared" si="36"/>
        <v>-1.7690288713910753</v>
      </c>
      <c r="T234" s="20">
        <v>3</v>
      </c>
      <c r="U234" s="20">
        <v>3</v>
      </c>
      <c r="V234" s="158">
        <f t="array" ref="V234">IF(ISERROR(L234/K234),"",L234/K234)</f>
        <v>1</v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216"/>
      <c r="H235" s="216"/>
      <c r="I235" s="216"/>
      <c r="J235" s="216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>
        <v>3004</v>
      </c>
      <c r="C236" s="226" t="s">
        <v>51</v>
      </c>
      <c r="D236" s="226"/>
      <c r="E236" s="163" t="s">
        <v>42</v>
      </c>
      <c r="F236" s="162"/>
      <c r="G236" s="216">
        <v>4</v>
      </c>
      <c r="H236" s="216"/>
      <c r="I236" s="216">
        <v>4</v>
      </c>
      <c r="J236" s="216"/>
      <c r="K236" s="161">
        <f t="shared" si="31"/>
        <v>2098.4</v>
      </c>
      <c r="L236" s="161">
        <f t="shared" si="32"/>
        <v>2098.4</v>
      </c>
      <c r="M236" s="161">
        <v>524.6</v>
      </c>
      <c r="N236" s="161">
        <f>+M236*1000/(25.4*20*15*60)*T236</f>
        <v>3.4422572178477688</v>
      </c>
      <c r="O236" s="161">
        <v>0.5</v>
      </c>
      <c r="P236" s="161">
        <f t="shared" si="34"/>
        <v>15.269028871391075</v>
      </c>
      <c r="Q236" s="161">
        <v>4</v>
      </c>
      <c r="R236" s="19">
        <f t="shared" si="35"/>
        <v>12</v>
      </c>
      <c r="S236" s="161">
        <f t="shared" si="36"/>
        <v>-3.2690288713910753</v>
      </c>
      <c r="T236" s="20">
        <v>3</v>
      </c>
      <c r="U236" s="20">
        <v>3</v>
      </c>
      <c r="V236" s="158">
        <f t="array" ref="V236">IF(ISERROR(L236/K236),"",L236/K236)</f>
        <v>1</v>
      </c>
      <c r="W236" s="20"/>
      <c r="X236" s="20"/>
      <c r="Y236" s="20"/>
      <c r="Z236" s="20"/>
      <c r="AA236" s="20">
        <v>3.5</v>
      </c>
      <c r="AB236" s="20"/>
      <c r="AC236" s="20"/>
    </row>
    <row r="237" spans="1:29" s="2" customFormat="1" ht="21.95" hidden="1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216"/>
      <c r="H237" s="216"/>
      <c r="I237" s="216"/>
      <c r="J237" s="216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218"/>
      <c r="H238" s="218"/>
      <c r="I238" s="218"/>
      <c r="J238" s="21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216"/>
      <c r="H239" s="216"/>
      <c r="I239" s="216"/>
      <c r="J239" s="216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216"/>
      <c r="H240" s="216"/>
      <c r="I240" s="216"/>
      <c r="J240" s="216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216"/>
      <c r="H241" s="216"/>
      <c r="I241" s="216"/>
      <c r="J241" s="216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216"/>
      <c r="H242" s="216"/>
      <c r="I242" s="216"/>
      <c r="J242" s="216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216"/>
      <c r="H243" s="216"/>
      <c r="I243" s="216"/>
      <c r="J243" s="216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216"/>
      <c r="H244" s="216"/>
      <c r="I244" s="216"/>
      <c r="J244" s="216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216"/>
      <c r="H245" s="216"/>
      <c r="I245" s="216"/>
      <c r="J245" s="216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216">
        <v>4</v>
      </c>
      <c r="H246" s="216"/>
      <c r="I246" s="216">
        <f>4-(80/250)</f>
        <v>3.68</v>
      </c>
      <c r="J246" s="216">
        <v>80</v>
      </c>
      <c r="K246" s="161">
        <f t="shared" si="31"/>
        <v>1142.8</v>
      </c>
      <c r="L246" s="161">
        <f t="shared" si="32"/>
        <v>1051.376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26.088734491315137</v>
      </c>
      <c r="Q246" s="161">
        <v>4</v>
      </c>
      <c r="R246" s="19">
        <f t="shared" si="35"/>
        <v>16</v>
      </c>
      <c r="S246" s="161">
        <f t="shared" si="36"/>
        <v>-10.088734491315137</v>
      </c>
      <c r="T246" s="20">
        <v>6</v>
      </c>
      <c r="U246" s="20">
        <v>4</v>
      </c>
      <c r="V246" s="158">
        <f t="array" ref="V246">IF(ISERROR(L246/K246),"",L246/K246)</f>
        <v>0.92</v>
      </c>
      <c r="W246" s="20"/>
      <c r="X246" s="20"/>
      <c r="Y246" s="20"/>
      <c r="Z246" s="20"/>
      <c r="AA246" s="20">
        <v>7.5</v>
      </c>
      <c r="AB246" s="20"/>
      <c r="AC246" s="20"/>
    </row>
    <row r="247" spans="1:29" ht="21.95" hidden="1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216"/>
      <c r="H247" s="216"/>
      <c r="I247" s="216"/>
      <c r="J247" s="216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216"/>
      <c r="H248" s="216"/>
      <c r="I248" s="216"/>
      <c r="J248" s="216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216"/>
      <c r="H249" s="216"/>
      <c r="I249" s="216"/>
      <c r="J249" s="216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216"/>
      <c r="H250" s="216"/>
      <c r="I250" s="216"/>
      <c r="J250" s="216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216"/>
      <c r="H251" s="216"/>
      <c r="I251" s="216"/>
      <c r="J251" s="216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216"/>
      <c r="H252" s="216"/>
      <c r="I252" s="216"/>
      <c r="J252" s="216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216"/>
      <c r="H253" s="216"/>
      <c r="I253" s="216"/>
      <c r="J253" s="216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216"/>
      <c r="H254" s="216"/>
      <c r="I254" s="216"/>
      <c r="J254" s="216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216"/>
      <c r="H255" s="216"/>
      <c r="I255" s="216"/>
      <c r="J255" s="216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>
        <v>4503</v>
      </c>
      <c r="C256" s="237" t="s">
        <v>68</v>
      </c>
      <c r="D256" s="238"/>
      <c r="E256" s="163" t="s">
        <v>70</v>
      </c>
      <c r="F256" s="162"/>
      <c r="G256" s="216">
        <v>6</v>
      </c>
      <c r="H256" s="216"/>
      <c r="I256" s="216">
        <v>6</v>
      </c>
      <c r="J256" s="216"/>
      <c r="K256" s="161">
        <f t="shared" si="31"/>
        <v>2313.6000000000004</v>
      </c>
      <c r="L256" s="161">
        <f t="shared" si="32"/>
        <v>2313.6000000000004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15.181102362204722</v>
      </c>
      <c r="Q256" s="161">
        <v>5</v>
      </c>
      <c r="R256" s="19">
        <f t="shared" si="35"/>
        <v>10</v>
      </c>
      <c r="S256" s="161">
        <f t="shared" si="36"/>
        <v>-5.1811023622047223</v>
      </c>
      <c r="T256" s="20">
        <v>3</v>
      </c>
      <c r="U256" s="20">
        <v>2</v>
      </c>
      <c r="V256" s="217">
        <f t="array" ref="V256">IF(ISERROR(L256/K256),"",L256/K256)</f>
        <v>1</v>
      </c>
      <c r="W256" s="20"/>
      <c r="X256" s="20"/>
      <c r="Y256" s="20"/>
      <c r="Z256" s="20"/>
      <c r="AA256" s="20">
        <v>1</v>
      </c>
      <c r="AB256" s="20"/>
      <c r="AC256" s="20"/>
    </row>
    <row r="257" spans="1:29" s="2" customFormat="1" ht="21" hidden="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216"/>
      <c r="H257" s="216"/>
      <c r="I257" s="216"/>
      <c r="J257" s="216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217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>
        <v>4503</v>
      </c>
      <c r="C258" s="237" t="s">
        <v>68</v>
      </c>
      <c r="D258" s="238"/>
      <c r="E258" s="163" t="s">
        <v>72</v>
      </c>
      <c r="F258" s="162"/>
      <c r="G258" s="216">
        <v>4</v>
      </c>
      <c r="H258" s="216"/>
      <c r="I258" s="216">
        <f>4-(80/350)</f>
        <v>3.7714285714285714</v>
      </c>
      <c r="J258" s="216">
        <v>80</v>
      </c>
      <c r="K258" s="161">
        <f t="shared" si="31"/>
        <v>1542.4</v>
      </c>
      <c r="L258" s="161">
        <f t="shared" si="32"/>
        <v>1454.2628571428572</v>
      </c>
      <c r="M258" s="161">
        <v>385.6</v>
      </c>
      <c r="N258" s="161">
        <f>+M258*1000/(25.4*20*15*60)*T258</f>
        <v>2.5301837270341205</v>
      </c>
      <c r="O258" s="161">
        <v>0.5</v>
      </c>
      <c r="P258" s="161">
        <f t="shared" si="34"/>
        <v>10.542407199100111</v>
      </c>
      <c r="Q258" s="161">
        <v>5</v>
      </c>
      <c r="R258" s="19">
        <f t="shared" si="35"/>
        <v>10</v>
      </c>
      <c r="S258" s="161">
        <f t="shared" si="36"/>
        <v>-0.54240719910011137</v>
      </c>
      <c r="T258" s="20">
        <v>3</v>
      </c>
      <c r="U258" s="20">
        <v>2</v>
      </c>
      <c r="V258" s="217">
        <f t="array" ref="V258">IF(ISERROR(L258/K258),"",L258/K258)</f>
        <v>0.94285714285714284</v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216"/>
      <c r="H259" s="216"/>
      <c r="I259" s="216"/>
      <c r="J259" s="216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217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216"/>
      <c r="H260" s="216"/>
      <c r="I260" s="216"/>
      <c r="J260" s="216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217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216"/>
      <c r="H261" s="216"/>
      <c r="I261" s="216"/>
      <c r="J261" s="216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217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216"/>
      <c r="H262" s="216"/>
      <c r="I262" s="216"/>
      <c r="J262" s="216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217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216"/>
      <c r="H263" s="216"/>
      <c r="I263" s="216"/>
      <c r="J263" s="216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217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216"/>
      <c r="H264" s="216"/>
      <c r="I264" s="216"/>
      <c r="J264" s="216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217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216"/>
      <c r="H265" s="216"/>
      <c r="I265" s="216"/>
      <c r="J265" s="216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217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218"/>
      <c r="H266" s="218"/>
      <c r="I266" s="218"/>
      <c r="J266" s="21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17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216"/>
      <c r="H267" s="216"/>
      <c r="I267" s="216"/>
      <c r="J267" s="216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217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216"/>
      <c r="H268" s="216"/>
      <c r="I268" s="216"/>
      <c r="J268" s="216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217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216"/>
      <c r="H269" s="216"/>
      <c r="I269" s="216"/>
      <c r="J269" s="216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217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216"/>
      <c r="H270" s="216"/>
      <c r="I270" s="216"/>
      <c r="J270" s="216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217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216"/>
      <c r="H271" s="216"/>
      <c r="I271" s="216"/>
      <c r="J271" s="216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217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216"/>
      <c r="H272" s="216"/>
      <c r="I272" s="216"/>
      <c r="J272" s="216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217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216"/>
      <c r="H273" s="216"/>
      <c r="I273" s="216"/>
      <c r="J273" s="216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217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216"/>
      <c r="H274" s="216"/>
      <c r="I274" s="216"/>
      <c r="J274" s="216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217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216"/>
      <c r="H275" s="216"/>
      <c r="I275" s="216"/>
      <c r="J275" s="216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217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216"/>
      <c r="H276" s="216"/>
      <c r="I276" s="216"/>
      <c r="J276" s="216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217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216"/>
      <c r="H277" s="216"/>
      <c r="I277" s="216"/>
      <c r="J277" s="216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217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216"/>
      <c r="H278" s="216"/>
      <c r="I278" s="216"/>
      <c r="J278" s="216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217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216"/>
      <c r="H279" s="216"/>
      <c r="I279" s="216"/>
      <c r="J279" s="216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217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216"/>
      <c r="H280" s="216"/>
      <c r="I280" s="216"/>
      <c r="J280" s="216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217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216"/>
      <c r="H281" s="216"/>
      <c r="I281" s="216"/>
      <c r="J281" s="216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217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216"/>
      <c r="H282" s="216"/>
      <c r="I282" s="216"/>
      <c r="J282" s="216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217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216"/>
      <c r="H283" s="216"/>
      <c r="I283" s="216"/>
      <c r="J283" s="216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217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216"/>
      <c r="H284" s="216"/>
      <c r="I284" s="216"/>
      <c r="J284" s="216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217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216"/>
      <c r="H285" s="216"/>
      <c r="I285" s="216"/>
      <c r="J285" s="216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217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216"/>
      <c r="H286" s="216"/>
      <c r="I286" s="216"/>
      <c r="J286" s="216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217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216"/>
      <c r="H287" s="216"/>
      <c r="I287" s="216"/>
      <c r="J287" s="216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217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216"/>
      <c r="H288" s="216"/>
      <c r="I288" s="216"/>
      <c r="J288" s="216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217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216"/>
      <c r="H289" s="216"/>
      <c r="I289" s="216"/>
      <c r="J289" s="216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217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216"/>
      <c r="H290" s="216"/>
      <c r="I290" s="216"/>
      <c r="J290" s="216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217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216"/>
      <c r="H291" s="216"/>
      <c r="I291" s="216"/>
      <c r="J291" s="216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217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218"/>
      <c r="H292" s="218"/>
      <c r="I292" s="218"/>
      <c r="J292" s="21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17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>
        <v>5001</v>
      </c>
      <c r="C293" s="226" t="s">
        <v>100</v>
      </c>
      <c r="D293" s="226" t="s">
        <v>101</v>
      </c>
      <c r="E293" s="163" t="s">
        <v>35</v>
      </c>
      <c r="F293" s="162"/>
      <c r="G293" s="216">
        <v>2</v>
      </c>
      <c r="H293" s="216"/>
      <c r="I293" s="216">
        <v>2</v>
      </c>
      <c r="J293" s="216"/>
      <c r="K293" s="161">
        <f t="shared" si="38"/>
        <v>831</v>
      </c>
      <c r="L293" s="161">
        <f t="shared" si="39"/>
        <v>831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17.281639928698752</v>
      </c>
      <c r="Q293" s="161">
        <v>3</v>
      </c>
      <c r="R293" s="19">
        <f t="shared" si="41"/>
        <v>12</v>
      </c>
      <c r="S293" s="161">
        <f t="shared" si="42"/>
        <v>-5.2816399286987519</v>
      </c>
      <c r="T293" s="20">
        <v>7</v>
      </c>
      <c r="U293" s="20">
        <v>4</v>
      </c>
      <c r="V293" s="217">
        <f t="array" ref="V293">IF(ISERROR(L293/K293),"",L293/K293)</f>
        <v>1</v>
      </c>
      <c r="W293" s="20"/>
      <c r="X293" s="20"/>
      <c r="Y293" s="20"/>
      <c r="Z293" s="20"/>
      <c r="AA293" s="20">
        <v>7</v>
      </c>
      <c r="AB293" s="20"/>
      <c r="AC293" s="20"/>
    </row>
    <row r="294" spans="1:29" s="2" customFormat="1" ht="21.95" customHeight="1">
      <c r="A294" s="157">
        <v>300383</v>
      </c>
      <c r="B294" s="150">
        <v>5001</v>
      </c>
      <c r="C294" s="226" t="s">
        <v>100</v>
      </c>
      <c r="D294" s="226" t="s">
        <v>102</v>
      </c>
      <c r="E294" s="163" t="s">
        <v>41</v>
      </c>
      <c r="F294" s="162"/>
      <c r="G294" s="216">
        <v>2</v>
      </c>
      <c r="H294" s="216"/>
      <c r="I294" s="216">
        <v>2</v>
      </c>
      <c r="J294" s="216"/>
      <c r="K294" s="161">
        <f t="shared" si="38"/>
        <v>831</v>
      </c>
      <c r="L294" s="161">
        <f t="shared" si="39"/>
        <v>831</v>
      </c>
      <c r="M294" s="161">
        <v>415.5</v>
      </c>
      <c r="N294" s="161">
        <f>+M294*1000/(51*1*110*60)*T294</f>
        <v>8.6408199643493759</v>
      </c>
      <c r="O294" s="161">
        <v>0.5</v>
      </c>
      <c r="P294" s="161">
        <f t="shared" si="40"/>
        <v>19.281639928698752</v>
      </c>
      <c r="Q294" s="161">
        <v>2</v>
      </c>
      <c r="R294" s="19">
        <f t="shared" si="41"/>
        <v>8</v>
      </c>
      <c r="S294" s="161">
        <f t="shared" si="42"/>
        <v>-11.281639928698752</v>
      </c>
      <c r="T294" s="20">
        <v>7</v>
      </c>
      <c r="U294" s="20">
        <v>4</v>
      </c>
      <c r="V294" s="217">
        <f t="array" ref="V294">IF(ISERROR(L294/K294),"",L294/K294)</f>
        <v>1</v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26</v>
      </c>
      <c r="H408" s="161">
        <f t="array" ref="H408">SUM(IF(ISERROR(H215:H407),“”,H215:H407))</f>
        <v>0</v>
      </c>
      <c r="I408" s="161">
        <f t="array" ref="I408">SUM(IF(ISERROR(I215:I407),“”,I215:I407))</f>
        <v>25.451428571428572</v>
      </c>
      <c r="J408" s="161">
        <f t="array" ref="J408">SUM(IF(ISERROR(J215:J407),“”,J215:J407))</f>
        <v>160</v>
      </c>
      <c r="K408" s="161">
        <f t="array" ref="K408">SUM(IF(ISERROR(K215:K407),“”,K215:K407))</f>
        <v>10857.6</v>
      </c>
      <c r="L408" s="117">
        <f>SUM(L215:L399)</f>
        <v>10678.038857142858</v>
      </c>
      <c r="M408" s="161"/>
      <c r="N408" s="161"/>
      <c r="O408" s="161">
        <f t="array" ref="O408">SUM(IF(ISERROR(O215:O407),“”,O215:O407))</f>
        <v>1.5</v>
      </c>
      <c r="P408" s="56">
        <f>SUM((P215:P399),(W413:X418))</f>
        <v>220.91358165279962</v>
      </c>
      <c r="Q408" s="161"/>
      <c r="R408" s="56">
        <f>SUM((R215:R399),(Y413:Z418))</f>
        <v>172</v>
      </c>
      <c r="S408" s="161">
        <f t="array" ref="S408">SUM(IF(ISERROR(S215:S407),“”,S215:S407))</f>
        <v>-37.413581652799621</v>
      </c>
      <c r="T408" s="161"/>
      <c r="U408" s="161"/>
      <c r="V408" s="158">
        <f t="array" ref="V408">IF(ISERROR(L408/K408),"",L408/K408)</f>
        <v>0.98346217001389413</v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19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>
        <f t="array" ref="O409">IF(ISERROR(P408/R408),"",P408/R408)</f>
        <v>1.2843812886790675</v>
      </c>
      <c r="P409" s="252"/>
      <c r="Q409" s="252"/>
      <c r="R409" s="253"/>
      <c r="S409" s="44"/>
      <c r="T409" s="45"/>
      <c r="U409" s="45"/>
      <c r="V409" s="45"/>
      <c r="W409" s="254">
        <f>SUM(W408:AC408)</f>
        <v>19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>
        <v>20</v>
      </c>
      <c r="F411" s="257"/>
      <c r="G411" s="257">
        <v>19.899999999999999</v>
      </c>
      <c r="H411" s="257"/>
      <c r="I411" s="257">
        <f>G411-E411</f>
        <v>-0.10000000000000142</v>
      </c>
      <c r="J411" s="257"/>
      <c r="K411" s="259">
        <f t="array" ref="K411">IF(ISERROR(I411/E411),"",I411/E411)</f>
        <v>-5.0000000000000712E-3</v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>
        <v>1869.2</v>
      </c>
      <c r="F412" s="257"/>
      <c r="G412" s="257">
        <v>1869.2</v>
      </c>
      <c r="H412" s="257"/>
      <c r="I412" s="257">
        <f>G412-E412</f>
        <v>0</v>
      </c>
      <c r="J412" s="257"/>
      <c r="K412" s="259">
        <f t="array" ref="K412">IF(ISERROR(I412/E412),"",I412/E412)</f>
        <v>0</v>
      </c>
      <c r="L412" s="259"/>
      <c r="M412" s="244"/>
      <c r="N412" s="245"/>
      <c r="O412" s="299"/>
      <c r="P412" s="299"/>
      <c r="Q412" s="261" t="s">
        <v>193</v>
      </c>
      <c r="R412" s="261"/>
      <c r="S412" s="262">
        <v>8</v>
      </c>
      <c r="T412" s="262"/>
      <c r="U412" s="262">
        <f>4+3+2</f>
        <v>9</v>
      </c>
      <c r="V412" s="262"/>
      <c r="W412" s="261">
        <f>S412*11.5</f>
        <v>92</v>
      </c>
      <c r="X412" s="261"/>
      <c r="Y412" s="261">
        <f>U412*11.5</f>
        <v>103.5</v>
      </c>
      <c r="Z412" s="261"/>
      <c r="AA412" s="261">
        <f t="shared" ref="AA412:AA419" si="59">Y412-W412</f>
        <v>11.5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>
        <v>0</v>
      </c>
      <c r="F413" s="257"/>
      <c r="G413" s="257">
        <v>0</v>
      </c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>
        <v>2</v>
      </c>
      <c r="T413" s="262"/>
      <c r="U413" s="262">
        <v>3</v>
      </c>
      <c r="V413" s="262"/>
      <c r="W413" s="261">
        <f t="shared" ref="W413:W418" si="60">S413*11.5</f>
        <v>23</v>
      </c>
      <c r="X413" s="261"/>
      <c r="Y413" s="261">
        <f t="shared" ref="Y413:Y418" si="61">U413*11.5</f>
        <v>34.5</v>
      </c>
      <c r="Z413" s="261"/>
      <c r="AA413" s="261">
        <f t="shared" si="59"/>
        <v>11.5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336">
        <v>0.75</v>
      </c>
      <c r="T414" s="337"/>
      <c r="U414" s="262">
        <v>0</v>
      </c>
      <c r="V414" s="262"/>
      <c r="W414" s="261">
        <f t="shared" si="60"/>
        <v>8.625</v>
      </c>
      <c r="X414" s="261"/>
      <c r="Y414" s="261">
        <f t="shared" si="61"/>
        <v>0</v>
      </c>
      <c r="Z414" s="261"/>
      <c r="AA414" s="261">
        <f t="shared" si="59"/>
        <v>-8.625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>
        <v>147578</v>
      </c>
      <c r="H415" s="302"/>
      <c r="I415" s="263">
        <f>147505</f>
        <v>147505</v>
      </c>
      <c r="J415" s="264"/>
      <c r="K415" s="267">
        <f>G415-I415</f>
        <v>73</v>
      </c>
      <c r="L415" s="267"/>
      <c r="M415" s="268">
        <f t="array" ref="M415">IF(ISERROR(K415/L408),"",K415/(L408/1000))</f>
        <v>6.8364613555576392</v>
      </c>
      <c r="N415" s="268"/>
      <c r="O415" s="299"/>
      <c r="P415" s="299"/>
      <c r="Q415" s="261" t="s">
        <v>205</v>
      </c>
      <c r="R415" s="261"/>
      <c r="S415" s="336">
        <v>0.75</v>
      </c>
      <c r="T415" s="337"/>
      <c r="U415" s="262">
        <v>1</v>
      </c>
      <c r="V415" s="262"/>
      <c r="W415" s="261">
        <f t="shared" si="60"/>
        <v>8.625</v>
      </c>
      <c r="X415" s="261"/>
      <c r="Y415" s="261">
        <f t="shared" si="61"/>
        <v>11.5</v>
      </c>
      <c r="Z415" s="261"/>
      <c r="AA415" s="261">
        <f t="shared" si="59"/>
        <v>2.875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>
        <f>28397.9*120+44593.2*60</f>
        <v>6083340</v>
      </c>
      <c r="H416" s="301"/>
      <c r="I416" s="263">
        <f>28391.9*120+44586*60</f>
        <v>6082188</v>
      </c>
      <c r="J416" s="264"/>
      <c r="K416" s="267">
        <f>G416-I416</f>
        <v>1152</v>
      </c>
      <c r="L416" s="267"/>
      <c r="M416" s="268">
        <f t="array" ref="M416">IF(ISERROR(K416/L408),"",K416/(L408/1000))</f>
        <v>107.88497920003287</v>
      </c>
      <c r="N416" s="268"/>
      <c r="O416" s="299"/>
      <c r="P416" s="299"/>
      <c r="Q416" s="261" t="s">
        <v>208</v>
      </c>
      <c r="R416" s="261"/>
      <c r="S416" s="336">
        <v>1.5</v>
      </c>
      <c r="T416" s="337"/>
      <c r="U416" s="262">
        <v>0</v>
      </c>
      <c r="V416" s="262"/>
      <c r="W416" s="261">
        <f t="shared" si="60"/>
        <v>17.25</v>
      </c>
      <c r="X416" s="261"/>
      <c r="Y416" s="261">
        <f t="shared" si="61"/>
        <v>0</v>
      </c>
      <c r="Z416" s="261"/>
      <c r="AA416" s="261">
        <f t="shared" si="59"/>
        <v>-17.25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>
        <f t="array" ref="M417">IF(ISERROR(K417/L408),"",K417/(L408/1000))</f>
        <v>0</v>
      </c>
      <c r="N417" s="271"/>
      <c r="O417" s="299"/>
      <c r="P417" s="299"/>
      <c r="Q417" s="261" t="s">
        <v>211</v>
      </c>
      <c r="R417" s="261"/>
      <c r="S417" s="336">
        <v>1</v>
      </c>
      <c r="T417" s="337"/>
      <c r="U417" s="262">
        <v>1</v>
      </c>
      <c r="V417" s="262"/>
      <c r="W417" s="261">
        <f t="shared" si="60"/>
        <v>11.5</v>
      </c>
      <c r="X417" s="261"/>
      <c r="Y417" s="261">
        <f t="shared" si="61"/>
        <v>11.5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 t="s">
        <v>320</v>
      </c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36">
        <v>3</v>
      </c>
      <c r="T418" s="337"/>
      <c r="U418" s="262">
        <f>3</f>
        <v>3</v>
      </c>
      <c r="V418" s="262"/>
      <c r="W418" s="261">
        <f t="shared" si="60"/>
        <v>34.5</v>
      </c>
      <c r="X418" s="261"/>
      <c r="Y418" s="261">
        <f t="shared" si="61"/>
        <v>34.5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17</v>
      </c>
      <c r="T419" s="262"/>
      <c r="U419" s="262">
        <f>SUM(U412:V418)</f>
        <v>17</v>
      </c>
      <c r="V419" s="262"/>
      <c r="W419" s="261">
        <f t="shared" ref="W419" si="62">S419*9</f>
        <v>153</v>
      </c>
      <c r="X419" s="261"/>
      <c r="Y419" s="261">
        <f t="shared" ref="Y419" si="63">U419*9</f>
        <v>153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>
        <f t="array" ref="S420">IF(ISERROR(L408/Y419),"",L408/Y419)</f>
        <v>69.791103641456587</v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22414.079999999998</v>
      </c>
      <c r="D423" s="315"/>
      <c r="E423" s="311" t="s">
        <v>226</v>
      </c>
      <c r="F423" s="311"/>
      <c r="G423" s="311">
        <f>L199+L408</f>
        <v>22234.518857142855</v>
      </c>
      <c r="H423" s="311"/>
      <c r="I423" s="318" t="s">
        <v>227</v>
      </c>
      <c r="J423" s="318"/>
      <c r="K423" s="317">
        <f>IF(ISERROR(G423/C423),"",G423/C423)</f>
        <v>0.99198891309136294</v>
      </c>
      <c r="L423" s="317"/>
      <c r="M423" s="311" t="s">
        <v>228</v>
      </c>
      <c r="N423" s="311"/>
      <c r="O423" s="312">
        <f>IF(ISERROR(G423/G424),"",G423/G424)</f>
        <v>62.98730554431404</v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435.7645484803603</v>
      </c>
      <c r="D424" s="315"/>
      <c r="E424" s="316" t="s">
        <v>18</v>
      </c>
      <c r="F424" s="316"/>
      <c r="G424" s="311">
        <f>R199+R408</f>
        <v>353</v>
      </c>
      <c r="H424" s="311"/>
      <c r="I424" s="291" t="s">
        <v>176</v>
      </c>
      <c r="J424" s="291"/>
      <c r="K424" s="317">
        <f>IF(ISERROR(C424/G424),"",C424/G424)</f>
        <v>1.234460477281474</v>
      </c>
      <c r="L424" s="317"/>
      <c r="M424" s="257" t="s">
        <v>230</v>
      </c>
      <c r="N424" s="257"/>
      <c r="O424" s="311">
        <f>W200+W409</f>
        <v>24</v>
      </c>
      <c r="P424" s="257"/>
      <c r="Q424" s="257" t="s">
        <v>231</v>
      </c>
      <c r="R424" s="257"/>
      <c r="S424" s="317">
        <f t="array" ref="S424">IF(ISERROR(O424/G424),"",O424/G424)</f>
        <v>6.79886685552408E-2</v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126</v>
      </c>
      <c r="D426" s="315"/>
      <c r="E426" s="311" t="s">
        <v>234</v>
      </c>
      <c r="F426" s="311"/>
      <c r="G426" s="271">
        <f t="array" ref="G426">IF(ISERROR(C426/G423),"",C426/(G423/1000))</f>
        <v>5.6668642487634671</v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2358</v>
      </c>
      <c r="D427" s="315"/>
      <c r="E427" s="311" t="s">
        <v>236</v>
      </c>
      <c r="F427" s="311"/>
      <c r="G427" s="271">
        <f>IF(ISERROR(C427/G423),"",C427/(G423/1000))</f>
        <v>106.05131665543061</v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>
        <f>IF(ISERROR(C428/G423),"",C428/(G423/1000))</f>
        <v>0</v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 t="e">
        <f>K209+K418</f>
        <v>#VALUE!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>
        <f>IF(ISERROR(C430/G423),"",C430/(G423/1000))</f>
        <v>0</v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20</v>
      </c>
      <c r="D432" s="324"/>
      <c r="E432" s="311" t="s">
        <v>247</v>
      </c>
      <c r="F432" s="329"/>
      <c r="G432" s="325">
        <f>+G411+G202</f>
        <v>19.899999999999999</v>
      </c>
      <c r="H432" s="326"/>
      <c r="I432" s="311" t="s">
        <v>248</v>
      </c>
      <c r="J432" s="329"/>
      <c r="K432" s="293">
        <f>G432-C432</f>
        <v>-0.10000000000000142</v>
      </c>
      <c r="L432" s="295"/>
      <c r="M432" s="330" t="s">
        <v>249</v>
      </c>
      <c r="N432" s="330"/>
      <c r="O432" s="321">
        <f t="array" ref="O432">IF(ISERROR(K432/C432),"",K432/C432)</f>
        <v>-5.0000000000000712E-3</v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3629.6000000000004</v>
      </c>
      <c r="D433" s="324"/>
      <c r="E433" s="311" t="s">
        <v>251</v>
      </c>
      <c r="F433" s="311"/>
      <c r="G433" s="325">
        <f>+G412+G203</f>
        <v>3699.6000000000004</v>
      </c>
      <c r="H433" s="326"/>
      <c r="I433" s="311" t="s">
        <v>252</v>
      </c>
      <c r="J433" s="311"/>
      <c r="K433" s="293">
        <f>G433-C433</f>
        <v>70</v>
      </c>
      <c r="L433" s="295"/>
      <c r="M433" s="327" t="s">
        <v>253</v>
      </c>
      <c r="N433" s="328"/>
      <c r="O433" s="321">
        <f t="array" ref="O433">IF(ISERROR(K433/C433),"",K433/C433)</f>
        <v>1.9285871721401806E-2</v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4">SUM(D437:F437)-O437-P437-G437</f>
        <v>3</v>
      </c>
      <c r="D437" s="209">
        <v>3</v>
      </c>
      <c r="E437" s="150"/>
      <c r="F437" s="150"/>
      <c r="G437" s="150"/>
      <c r="H437" s="151"/>
      <c r="I437" s="151"/>
      <c r="J437" s="83">
        <f t="shared" ref="J437:J452" si="65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6">J437-K437-L437</f>
        <v>3</v>
      </c>
      <c r="R437" s="155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4"/>
        <v>5</v>
      </c>
      <c r="D438" s="209">
        <v>5</v>
      </c>
      <c r="E438" s="150"/>
      <c r="F438" s="150"/>
      <c r="G438" s="150"/>
      <c r="H438" s="151"/>
      <c r="I438" s="151"/>
      <c r="J438" s="83">
        <f t="shared" si="65"/>
        <v>5</v>
      </c>
      <c r="K438" s="67"/>
      <c r="L438" s="67"/>
      <c r="M438" s="67"/>
      <c r="N438" s="67"/>
      <c r="O438" s="67"/>
      <c r="P438" s="118"/>
      <c r="Q438" s="83">
        <f t="shared" si="66"/>
        <v>5</v>
      </c>
      <c r="R438" s="155">
        <f t="shared" ref="R438:R443" si="67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4"/>
        <v>3</v>
      </c>
      <c r="D439" s="209">
        <v>3</v>
      </c>
      <c r="E439" s="150"/>
      <c r="F439" s="150"/>
      <c r="G439" s="150"/>
      <c r="H439" s="151"/>
      <c r="I439" s="151"/>
      <c r="J439" s="83">
        <f t="shared" si="65"/>
        <v>3</v>
      </c>
      <c r="K439" s="67"/>
      <c r="L439" s="67"/>
      <c r="M439" s="67"/>
      <c r="N439" s="67"/>
      <c r="O439" s="67"/>
      <c r="P439" s="118"/>
      <c r="Q439" s="83">
        <f t="shared" si="66"/>
        <v>3</v>
      </c>
      <c r="R439" s="155">
        <f t="shared" si="67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4"/>
        <v>11</v>
      </c>
      <c r="D440" s="209">
        <v>11</v>
      </c>
      <c r="E440" s="150"/>
      <c r="F440" s="150"/>
      <c r="G440" s="150"/>
      <c r="H440" s="151"/>
      <c r="I440" s="151">
        <v>7</v>
      </c>
      <c r="J440" s="83">
        <f t="shared" si="65"/>
        <v>4</v>
      </c>
      <c r="K440" s="67"/>
      <c r="L440" s="67"/>
      <c r="M440" s="67"/>
      <c r="N440" s="67"/>
      <c r="O440" s="67"/>
      <c r="P440" s="118"/>
      <c r="Q440" s="83">
        <f t="shared" si="66"/>
        <v>4</v>
      </c>
      <c r="R440" s="155">
        <f t="shared" si="67"/>
        <v>44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4"/>
        <v>0</v>
      </c>
      <c r="D441" s="209">
        <v>0</v>
      </c>
      <c r="E441" s="150"/>
      <c r="F441" s="150"/>
      <c r="G441" s="150"/>
      <c r="H441" s="151"/>
      <c r="I441" s="151"/>
      <c r="J441" s="83">
        <f t="shared" si="65"/>
        <v>0</v>
      </c>
      <c r="K441" s="67"/>
      <c r="L441" s="67"/>
      <c r="M441" s="67"/>
      <c r="N441" s="67"/>
      <c r="O441" s="67"/>
      <c r="P441" s="118"/>
      <c r="Q441" s="83">
        <f t="shared" si="66"/>
        <v>0</v>
      </c>
      <c r="R441" s="155">
        <f t="shared" si="6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4"/>
        <v>2</v>
      </c>
      <c r="D442" s="209">
        <v>2</v>
      </c>
      <c r="E442" s="67"/>
      <c r="F442" s="67"/>
      <c r="G442" s="67"/>
      <c r="H442" s="67"/>
      <c r="I442" s="67"/>
      <c r="J442" s="83">
        <f t="shared" si="65"/>
        <v>2</v>
      </c>
      <c r="K442" s="67"/>
      <c r="L442" s="67"/>
      <c r="M442" s="67"/>
      <c r="N442" s="67"/>
      <c r="O442" s="67"/>
      <c r="P442" s="67"/>
      <c r="Q442" s="83">
        <f t="shared" si="66"/>
        <v>2</v>
      </c>
      <c r="R442" s="155">
        <f t="shared" si="67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8">SUM(D443:F443)-O443-P443-G443</f>
        <v>24</v>
      </c>
      <c r="D443" s="68">
        <f>SUM(D437:D442)</f>
        <v>24</v>
      </c>
      <c r="E443" s="68">
        <f t="shared" ref="E443:P443" si="69">SUM(E437:E442)</f>
        <v>0</v>
      </c>
      <c r="F443" s="68">
        <f t="shared" si="69"/>
        <v>0</v>
      </c>
      <c r="G443" s="68">
        <f t="shared" si="69"/>
        <v>0</v>
      </c>
      <c r="H443" s="68">
        <f t="shared" si="69"/>
        <v>0</v>
      </c>
      <c r="I443" s="68">
        <f t="shared" si="69"/>
        <v>7</v>
      </c>
      <c r="J443" s="84">
        <f t="shared" si="65"/>
        <v>17</v>
      </c>
      <c r="K443" s="68">
        <f t="shared" si="69"/>
        <v>0</v>
      </c>
      <c r="L443" s="68">
        <f t="shared" si="69"/>
        <v>0</v>
      </c>
      <c r="M443" s="68">
        <f t="shared" si="69"/>
        <v>0</v>
      </c>
      <c r="N443" s="68">
        <f t="shared" si="69"/>
        <v>0</v>
      </c>
      <c r="O443" s="68">
        <f t="shared" si="69"/>
        <v>0</v>
      </c>
      <c r="P443" s="68">
        <f t="shared" si="69"/>
        <v>0</v>
      </c>
      <c r="Q443" s="83">
        <f t="shared" si="66"/>
        <v>17</v>
      </c>
      <c r="R443" s="155">
        <f t="shared" si="67"/>
        <v>187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8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5"/>
        <v>3</v>
      </c>
      <c r="K444" s="67"/>
      <c r="L444" s="67"/>
      <c r="M444" s="67"/>
      <c r="N444" s="67"/>
      <c r="O444" s="67"/>
      <c r="P444" s="67"/>
      <c r="Q444" s="83">
        <f t="shared" si="66"/>
        <v>3</v>
      </c>
      <c r="R444" s="155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8"/>
        <v>2</v>
      </c>
      <c r="D445" s="209">
        <v>2</v>
      </c>
      <c r="E445" s="67"/>
      <c r="F445" s="67"/>
      <c r="G445" s="67"/>
      <c r="H445" s="67"/>
      <c r="I445" s="67"/>
      <c r="J445" s="83">
        <f t="shared" si="65"/>
        <v>2</v>
      </c>
      <c r="K445" s="67"/>
      <c r="L445" s="67"/>
      <c r="M445" s="67"/>
      <c r="N445" s="67"/>
      <c r="O445" s="67"/>
      <c r="P445" s="67"/>
      <c r="Q445" s="83">
        <f t="shared" si="66"/>
        <v>2</v>
      </c>
      <c r="R445" s="155">
        <f t="shared" ref="R445:R450" si="70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8"/>
        <v>3</v>
      </c>
      <c r="D446" s="209">
        <v>3</v>
      </c>
      <c r="E446" s="67"/>
      <c r="F446" s="67"/>
      <c r="G446" s="67"/>
      <c r="H446" s="67"/>
      <c r="I446" s="67"/>
      <c r="J446" s="83">
        <f t="shared" si="65"/>
        <v>3</v>
      </c>
      <c r="K446" s="67"/>
      <c r="L446" s="67"/>
      <c r="M446" s="67"/>
      <c r="N446" s="67"/>
      <c r="P446" s="67"/>
      <c r="Q446" s="83">
        <f t="shared" si="66"/>
        <v>3</v>
      </c>
      <c r="R446" s="155">
        <f t="shared" si="70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8"/>
        <v>15</v>
      </c>
      <c r="D447" s="209">
        <v>15</v>
      </c>
      <c r="E447" s="67"/>
      <c r="F447" s="67"/>
      <c r="G447" s="67"/>
      <c r="H447" s="67"/>
      <c r="I447" s="67">
        <f>5+4</f>
        <v>9</v>
      </c>
      <c r="J447" s="83">
        <f t="shared" si="65"/>
        <v>6</v>
      </c>
      <c r="K447" s="67"/>
      <c r="L447" s="67"/>
      <c r="M447" s="67"/>
      <c r="N447" s="67"/>
      <c r="O447" s="67"/>
      <c r="P447" s="67"/>
      <c r="Q447" s="83">
        <f t="shared" si="66"/>
        <v>6</v>
      </c>
      <c r="R447" s="155">
        <f t="shared" si="70"/>
        <v>69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8"/>
        <v>1</v>
      </c>
      <c r="D448" s="209">
        <v>1</v>
      </c>
      <c r="E448" s="67"/>
      <c r="F448" s="67"/>
      <c r="G448" s="67"/>
      <c r="H448" s="67"/>
      <c r="I448" s="67"/>
      <c r="J448" s="83">
        <f t="shared" si="65"/>
        <v>1</v>
      </c>
      <c r="K448" s="67"/>
      <c r="L448" s="67"/>
      <c r="M448" s="110"/>
      <c r="N448" s="67"/>
      <c r="O448" s="67"/>
      <c r="P448" s="67"/>
      <c r="Q448" s="83">
        <f t="shared" si="66"/>
        <v>1</v>
      </c>
      <c r="R448" s="155">
        <f t="shared" si="70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8"/>
        <v>2</v>
      </c>
      <c r="D449" s="209">
        <v>2</v>
      </c>
      <c r="E449" s="67"/>
      <c r="F449" s="67"/>
      <c r="G449" s="67"/>
      <c r="H449" s="67"/>
      <c r="I449" s="67"/>
      <c r="J449" s="83">
        <f t="shared" si="65"/>
        <v>2</v>
      </c>
      <c r="K449" s="67"/>
      <c r="L449" s="67"/>
      <c r="M449" s="67"/>
      <c r="N449" s="67"/>
      <c r="O449" s="67"/>
      <c r="P449" s="67"/>
      <c r="Q449" s="83">
        <f t="shared" si="66"/>
        <v>2</v>
      </c>
      <c r="R449" s="155">
        <f t="shared" si="70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8"/>
        <v>27</v>
      </c>
      <c r="D450" s="69">
        <f t="shared" ref="D450" si="71">SUM(D444:D449)</f>
        <v>27</v>
      </c>
      <c r="E450" s="69">
        <f t="shared" ref="E450:I450" si="72">SUM(E444:E449)</f>
        <v>0</v>
      </c>
      <c r="F450" s="69">
        <f t="shared" si="72"/>
        <v>0</v>
      </c>
      <c r="G450" s="69">
        <f t="shared" si="72"/>
        <v>0</v>
      </c>
      <c r="H450" s="69">
        <f t="shared" si="72"/>
        <v>0</v>
      </c>
      <c r="I450" s="69">
        <f t="shared" si="72"/>
        <v>10</v>
      </c>
      <c r="J450" s="85">
        <f t="shared" si="65"/>
        <v>17</v>
      </c>
      <c r="K450" s="69">
        <f t="shared" ref="K450:P450" si="73">SUM(K444:K449)</f>
        <v>0</v>
      </c>
      <c r="L450" s="69">
        <f t="shared" si="73"/>
        <v>0</v>
      </c>
      <c r="M450" s="69">
        <f t="shared" si="73"/>
        <v>0</v>
      </c>
      <c r="N450" s="69">
        <f t="shared" si="73"/>
        <v>0</v>
      </c>
      <c r="O450" s="69">
        <f t="shared" si="73"/>
        <v>0</v>
      </c>
      <c r="P450" s="69">
        <f t="shared" si="73"/>
        <v>0</v>
      </c>
      <c r="Q450" s="83">
        <f t="shared" si="66"/>
        <v>17</v>
      </c>
      <c r="R450" s="155">
        <f t="shared" si="70"/>
        <v>195.5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8"/>
        <v>2</v>
      </c>
      <c r="D451" s="215">
        <v>2</v>
      </c>
      <c r="E451" s="150"/>
      <c r="F451" s="150"/>
      <c r="G451" s="150"/>
      <c r="H451" s="151"/>
      <c r="I451" s="83"/>
      <c r="J451" s="83">
        <f t="shared" si="65"/>
        <v>2</v>
      </c>
      <c r="K451" s="151"/>
      <c r="L451" s="151"/>
      <c r="M451" s="151"/>
      <c r="N451" s="151"/>
      <c r="O451" s="151"/>
      <c r="P451" s="166"/>
      <c r="Q451" s="83">
        <f t="shared" si="66"/>
        <v>2</v>
      </c>
      <c r="R451" s="155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8"/>
        <v>53</v>
      </c>
      <c r="D452" s="69">
        <f>+D451+D450+D443</f>
        <v>53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17</v>
      </c>
      <c r="J452" s="85">
        <f t="shared" si="65"/>
        <v>36</v>
      </c>
      <c r="K452" s="69">
        <f t="shared" ref="K452:P452" si="74">+K443+K450+K451</f>
        <v>0</v>
      </c>
      <c r="L452" s="69">
        <f t="shared" si="74"/>
        <v>0</v>
      </c>
      <c r="M452" s="69">
        <f t="shared" si="74"/>
        <v>0</v>
      </c>
      <c r="N452" s="69">
        <f t="shared" si="74"/>
        <v>0</v>
      </c>
      <c r="O452" s="69">
        <f t="shared" si="74"/>
        <v>0</v>
      </c>
      <c r="P452" s="69">
        <f t="shared" si="74"/>
        <v>0</v>
      </c>
      <c r="Q452" s="83">
        <f t="shared" si="66"/>
        <v>36</v>
      </c>
      <c r="R452" s="67">
        <f>R443+R450+R451</f>
        <v>404.5</v>
      </c>
      <c r="S452" s="123">
        <f t="array" ref="S452">IF(ISERROR(Q452/J452),"",Q452/J452)</f>
        <v>1</v>
      </c>
      <c r="T452" s="16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0"/>
  <dimension ref="A1:AC454"/>
  <sheetViews>
    <sheetView workbookViewId="0">
      <pane xSplit="5" ySplit="5" topLeftCell="F431" activePane="bottomRight" state="frozen"/>
      <selection pane="topRight" activeCell="F1" sqref="F1"/>
      <selection pane="bottomLeft" activeCell="A6" sqref="A6"/>
      <selection pane="bottomRight" activeCell="D437" sqref="D437:D45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hidden="1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hidden="1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hidden="1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hidden="1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hidden="1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hidden="1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hidden="1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hidden="1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hidden="1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hidden="1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hidden="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208">
        <f>+H37</f>
        <v>0.32</v>
      </c>
      <c r="H37" s="208">
        <f>80/250</f>
        <v>0.32</v>
      </c>
      <c r="I37" s="208">
        <f>+H37</f>
        <v>0.32</v>
      </c>
      <c r="J37" s="208"/>
      <c r="K37" s="161">
        <f t="shared" si="0"/>
        <v>91.423999999999992</v>
      </c>
      <c r="L37" s="161">
        <f t="shared" si="1"/>
        <v>91.423999999999992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2.2685856079404467</v>
      </c>
      <c r="Q37" s="161">
        <v>1.5</v>
      </c>
      <c r="R37" s="19">
        <f t="shared" si="3"/>
        <v>7.5</v>
      </c>
      <c r="S37" s="161">
        <f t="shared" si="4"/>
        <v>5.2314143920595537</v>
      </c>
      <c r="T37" s="20">
        <v>6</v>
      </c>
      <c r="U37" s="20">
        <v>5</v>
      </c>
      <c r="V37" s="158">
        <f t="array" ref="V37">IF(ISERROR(L37/K37),"",L37/K37)</f>
        <v>1</v>
      </c>
      <c r="W37" s="20"/>
      <c r="X37" s="20"/>
      <c r="Y37" s="20"/>
      <c r="Z37" s="20"/>
      <c r="AA37" s="20">
        <v>9</v>
      </c>
      <c r="AB37" s="20"/>
      <c r="AC37" s="20"/>
    </row>
    <row r="38" spans="1:29" ht="21.95" hidden="1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208"/>
      <c r="H38" s="208"/>
      <c r="I38" s="208"/>
      <c r="J38" s="208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208"/>
      <c r="H39" s="208"/>
      <c r="I39" s="208"/>
      <c r="J39" s="208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208"/>
      <c r="H40" s="208"/>
      <c r="I40" s="208"/>
      <c r="J40" s="208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208"/>
      <c r="H41" s="208"/>
      <c r="I41" s="208"/>
      <c r="J41" s="208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>
        <v>3602</v>
      </c>
      <c r="C42" s="226" t="s">
        <v>61</v>
      </c>
      <c r="D42" s="226" t="s">
        <v>62</v>
      </c>
      <c r="E42" s="163" t="s">
        <v>63</v>
      </c>
      <c r="F42" s="13"/>
      <c r="G42" s="208">
        <f>+I42</f>
        <v>3.12</v>
      </c>
      <c r="H42" s="208"/>
      <c r="I42" s="208">
        <f>4-(220/250)</f>
        <v>3.12</v>
      </c>
      <c r="J42" s="208">
        <v>220</v>
      </c>
      <c r="K42" s="161">
        <f t="shared" si="0"/>
        <v>1144.8216</v>
      </c>
      <c r="L42" s="161">
        <f t="shared" si="1"/>
        <v>1144.8216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8.1995530726256991</v>
      </c>
      <c r="Q42" s="161">
        <v>4</v>
      </c>
      <c r="R42" s="19">
        <f t="shared" si="3"/>
        <v>12</v>
      </c>
      <c r="S42" s="161">
        <f t="shared" si="4"/>
        <v>3.8004469273743009</v>
      </c>
      <c r="T42" s="20">
        <v>2</v>
      </c>
      <c r="U42" s="20">
        <v>3</v>
      </c>
      <c r="V42" s="158">
        <f t="array" ref="V42">IF(ISERROR(L42/K42),"",L42/K42)</f>
        <v>1</v>
      </c>
      <c r="W42" s="20"/>
      <c r="X42" s="20"/>
      <c r="Y42" s="20"/>
      <c r="Z42" s="20"/>
      <c r="AA42" s="20">
        <v>7</v>
      </c>
      <c r="AB42" s="20"/>
      <c r="AC42" s="20"/>
    </row>
    <row r="43" spans="1:29" ht="21.95" hidden="1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208"/>
      <c r="H43" s="208"/>
      <c r="I43" s="208"/>
      <c r="J43" s="208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208"/>
      <c r="H44" s="208"/>
      <c r="I44" s="208"/>
      <c r="J44" s="208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208"/>
      <c r="H45" s="208"/>
      <c r="I45" s="208"/>
      <c r="J45" s="208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33"/>
      <c r="H46" s="133"/>
      <c r="I46" s="133"/>
      <c r="J46" s="133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33"/>
      <c r="H47" s="133"/>
      <c r="I47" s="133"/>
      <c r="J47" s="133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>
        <v>4503</v>
      </c>
      <c r="C48" s="237" t="s">
        <v>68</v>
      </c>
      <c r="D48" s="238"/>
      <c r="E48" s="163" t="s">
        <v>71</v>
      </c>
      <c r="F48" s="162"/>
      <c r="G48" s="222">
        <v>5</v>
      </c>
      <c r="H48" s="222"/>
      <c r="I48" s="222">
        <v>5</v>
      </c>
      <c r="J48" s="133"/>
      <c r="K48" s="161">
        <f t="shared" si="0"/>
        <v>1928</v>
      </c>
      <c r="L48" s="161">
        <f t="shared" si="1"/>
        <v>1928</v>
      </c>
      <c r="M48" s="161">
        <v>385.6</v>
      </c>
      <c r="N48" s="161">
        <f>+M48*1000/(25.4*20*15*60)*T48</f>
        <v>2.5301837270341205</v>
      </c>
      <c r="O48" s="161">
        <v>0.5</v>
      </c>
      <c r="P48" s="161">
        <f t="shared" si="2"/>
        <v>13.650918635170603</v>
      </c>
      <c r="Q48" s="161">
        <v>6.5</v>
      </c>
      <c r="R48" s="19">
        <f t="shared" si="3"/>
        <v>13</v>
      </c>
      <c r="S48" s="161">
        <f t="shared" si="4"/>
        <v>-0.65091863517060311</v>
      </c>
      <c r="T48" s="20">
        <v>3</v>
      </c>
      <c r="U48" s="20">
        <v>2</v>
      </c>
      <c r="V48" s="221">
        <f t="array" ref="V48">IF(ISERROR(L48/K48),"",L48/K48)</f>
        <v>1</v>
      </c>
      <c r="W48" s="20"/>
      <c r="X48" s="20"/>
      <c r="Y48" s="20"/>
      <c r="Z48" s="20"/>
      <c r="AA48" s="20">
        <v>1.5</v>
      </c>
      <c r="AB48" s="20"/>
      <c r="AC48" s="20"/>
    </row>
    <row r="49" spans="1:29" s="2" customFormat="1" ht="21" customHeight="1">
      <c r="A49" s="157">
        <v>300419</v>
      </c>
      <c r="B49" s="150">
        <v>4503</v>
      </c>
      <c r="C49" s="237" t="s">
        <v>68</v>
      </c>
      <c r="D49" s="238"/>
      <c r="E49" s="163" t="s">
        <v>72</v>
      </c>
      <c r="F49" s="162"/>
      <c r="G49" s="222">
        <f>+I49</f>
        <v>2.2285714285714286</v>
      </c>
      <c r="H49" s="222">
        <f>80/350</f>
        <v>0.22857142857142856</v>
      </c>
      <c r="I49" s="222">
        <f>2+H49</f>
        <v>2.2285714285714286</v>
      </c>
      <c r="J49" s="133"/>
      <c r="K49" s="161">
        <f t="shared" si="0"/>
        <v>859.33714285714291</v>
      </c>
      <c r="L49" s="161">
        <f t="shared" si="1"/>
        <v>859.33714285714291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5.6386951631046118</v>
      </c>
      <c r="Q49" s="161">
        <v>2</v>
      </c>
      <c r="R49" s="19">
        <f t="shared" si="3"/>
        <v>4</v>
      </c>
      <c r="S49" s="161">
        <f t="shared" si="4"/>
        <v>-1.6386951631046118</v>
      </c>
      <c r="T49" s="20">
        <v>3</v>
      </c>
      <c r="U49" s="20">
        <v>2</v>
      </c>
      <c r="V49" s="221">
        <f t="array" ref="V49">IF(ISERROR(L49/K49),"",L49/K49)</f>
        <v>1</v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208"/>
      <c r="H50" s="208"/>
      <c r="I50" s="208"/>
      <c r="J50" s="208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22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208"/>
      <c r="H51" s="208"/>
      <c r="I51" s="208"/>
      <c r="J51" s="208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22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208"/>
      <c r="H52" s="208"/>
      <c r="I52" s="208"/>
      <c r="J52" s="208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22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208"/>
      <c r="H53" s="208"/>
      <c r="I53" s="208"/>
      <c r="J53" s="208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22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208"/>
      <c r="H54" s="208"/>
      <c r="I54" s="208"/>
      <c r="J54" s="208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22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208"/>
      <c r="H55" s="208"/>
      <c r="I55" s="208"/>
      <c r="J55" s="208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22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208"/>
      <c r="H56" s="208"/>
      <c r="I56" s="208"/>
      <c r="J56" s="208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22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212"/>
      <c r="H57" s="212"/>
      <c r="I57" s="212"/>
      <c r="J57" s="212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21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208"/>
      <c r="H58" s="208"/>
      <c r="I58" s="208"/>
      <c r="J58" s="208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22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208"/>
      <c r="H59" s="208"/>
      <c r="I59" s="208"/>
      <c r="J59" s="208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22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208"/>
      <c r="H60" s="208"/>
      <c r="I60" s="208"/>
      <c r="J60" s="208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221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>
        <v>4503</v>
      </c>
      <c r="C61" s="237" t="s">
        <v>301</v>
      </c>
      <c r="D61" s="238"/>
      <c r="E61" s="163" t="s">
        <v>80</v>
      </c>
      <c r="F61" s="13"/>
      <c r="G61" s="208">
        <v>1</v>
      </c>
      <c r="H61" s="208"/>
      <c r="I61" s="208">
        <f>2-(450/350)</f>
        <v>0.71428571428571419</v>
      </c>
      <c r="J61" s="208">
        <v>450</v>
      </c>
      <c r="K61" s="161">
        <f t="shared" si="0"/>
        <v>429.8</v>
      </c>
      <c r="L61" s="161">
        <f t="shared" si="1"/>
        <v>306.99999999999994</v>
      </c>
      <c r="M61" s="15">
        <v>429.8</v>
      </c>
      <c r="N61" s="161">
        <f>+M61*1000/(45*10*13*60)*T61</f>
        <v>3.6735042735042738</v>
      </c>
      <c r="O61" s="161">
        <v>0.5</v>
      </c>
      <c r="P61" s="161">
        <f t="shared" si="2"/>
        <v>3.6239316239316239</v>
      </c>
      <c r="Q61" s="161">
        <v>1</v>
      </c>
      <c r="R61" s="19">
        <f t="shared" si="3"/>
        <v>2</v>
      </c>
      <c r="S61" s="161">
        <f t="shared" si="4"/>
        <v>-1.6239316239316239</v>
      </c>
      <c r="T61" s="20">
        <v>3</v>
      </c>
      <c r="U61" s="20">
        <v>2</v>
      </c>
      <c r="V61" s="221">
        <f t="array" ref="V61">IF(ISERROR(L61/K61),"",L61/K61)</f>
        <v>0.71428571428571408</v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208"/>
      <c r="H62" s="208"/>
      <c r="I62" s="208"/>
      <c r="J62" s="208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208"/>
      <c r="H63" s="208"/>
      <c r="I63" s="208"/>
      <c r="J63" s="208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208"/>
      <c r="H64" s="208"/>
      <c r="I64" s="208"/>
      <c r="J64" s="208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208"/>
      <c r="H65" s="208"/>
      <c r="I65" s="208"/>
      <c r="J65" s="208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208"/>
      <c r="H66" s="208"/>
      <c r="I66" s="208"/>
      <c r="J66" s="208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208"/>
      <c r="H67" s="208"/>
      <c r="I67" s="208"/>
      <c r="J67" s="208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208"/>
      <c r="H68" s="208"/>
      <c r="I68" s="208"/>
      <c r="J68" s="208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208"/>
      <c r="H69" s="208"/>
      <c r="I69" s="208"/>
      <c r="J69" s="208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208"/>
      <c r="H70" s="208"/>
      <c r="I70" s="208"/>
      <c r="J70" s="208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208"/>
      <c r="H71" s="208"/>
      <c r="I71" s="208"/>
      <c r="J71" s="208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208"/>
      <c r="H72" s="208"/>
      <c r="I72" s="208"/>
      <c r="J72" s="208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208"/>
      <c r="H73" s="208"/>
      <c r="I73" s="208"/>
      <c r="J73" s="208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213"/>
      <c r="H74" s="213"/>
      <c r="I74" s="213"/>
      <c r="J74" s="21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208"/>
      <c r="H75" s="208"/>
      <c r="I75" s="208"/>
      <c r="J75" s="208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208"/>
      <c r="H76" s="208"/>
      <c r="I76" s="208"/>
      <c r="J76" s="208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208"/>
      <c r="H77" s="208"/>
      <c r="I77" s="208"/>
      <c r="J77" s="208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208"/>
      <c r="H78" s="208"/>
      <c r="I78" s="208"/>
      <c r="J78" s="208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208"/>
      <c r="H79" s="208"/>
      <c r="I79" s="208"/>
      <c r="J79" s="208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208"/>
      <c r="H80" s="208"/>
      <c r="I80" s="208"/>
      <c r="J80" s="208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208"/>
      <c r="H81" s="208"/>
      <c r="I81" s="208"/>
      <c r="J81" s="208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208"/>
      <c r="H82" s="208"/>
      <c r="I82" s="208"/>
      <c r="J82" s="208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212"/>
      <c r="H83" s="212"/>
      <c r="I83" s="212"/>
      <c r="J83" s="212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208"/>
      <c r="H84" s="208"/>
      <c r="I84" s="208"/>
      <c r="J84" s="208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208"/>
      <c r="H85" s="208"/>
      <c r="I85" s="208"/>
      <c r="J85" s="208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208"/>
      <c r="H86" s="208"/>
      <c r="I86" s="208"/>
      <c r="J86" s="208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208"/>
      <c r="H87" s="208"/>
      <c r="I87" s="208"/>
      <c r="J87" s="208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208"/>
      <c r="H88" s="208"/>
      <c r="I88" s="208"/>
      <c r="J88" s="208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208"/>
      <c r="H89" s="208"/>
      <c r="I89" s="208"/>
      <c r="J89" s="208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208"/>
      <c r="H90" s="208"/>
      <c r="I90" s="208"/>
      <c r="J90" s="208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208"/>
      <c r="H91" s="208"/>
      <c r="I91" s="208"/>
      <c r="J91" s="208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208"/>
      <c r="H92" s="208"/>
      <c r="I92" s="208"/>
      <c r="J92" s="208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208"/>
      <c r="H93" s="208"/>
      <c r="I93" s="208"/>
      <c r="J93" s="208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208"/>
      <c r="H94" s="208"/>
      <c r="I94" s="208"/>
      <c r="J94" s="208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208"/>
      <c r="H95" s="208"/>
      <c r="I95" s="208"/>
      <c r="J95" s="208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208"/>
      <c r="H96" s="208"/>
      <c r="I96" s="208"/>
      <c r="J96" s="208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213"/>
      <c r="H97" s="213"/>
      <c r="I97" s="213"/>
      <c r="J97" s="21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208"/>
      <c r="H98" s="208"/>
      <c r="I98" s="208"/>
      <c r="J98" s="208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208"/>
      <c r="H99" s="208"/>
      <c r="I99" s="208"/>
      <c r="J99" s="208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208"/>
      <c r="H100" s="208"/>
      <c r="I100" s="208"/>
      <c r="J100" s="208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208"/>
      <c r="H101" s="208"/>
      <c r="I101" s="208"/>
      <c r="J101" s="208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208"/>
      <c r="H102" s="208"/>
      <c r="I102" s="208"/>
      <c r="J102" s="208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208"/>
      <c r="H103" s="208"/>
      <c r="I103" s="208"/>
      <c r="J103" s="208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208"/>
      <c r="H104" s="208"/>
      <c r="I104" s="208"/>
      <c r="J104" s="208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208"/>
      <c r="H105" s="208"/>
      <c r="I105" s="208"/>
      <c r="J105" s="208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213"/>
      <c r="H106" s="213"/>
      <c r="I106" s="213"/>
      <c r="J106" s="21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213"/>
      <c r="H107" s="213"/>
      <c r="I107" s="213"/>
      <c r="J107" s="21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213"/>
      <c r="H108" s="213"/>
      <c r="I108" s="213"/>
      <c r="J108" s="21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213"/>
      <c r="H109" s="213"/>
      <c r="I109" s="213"/>
      <c r="J109" s="21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213"/>
      <c r="H110" s="213"/>
      <c r="I110" s="213"/>
      <c r="J110" s="21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208"/>
      <c r="H111" s="208"/>
      <c r="I111" s="208"/>
      <c r="J111" s="208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208"/>
      <c r="H112" s="208"/>
      <c r="I112" s="208"/>
      <c r="J112" s="208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>
        <v>6502</v>
      </c>
      <c r="C113" s="226" t="s">
        <v>121</v>
      </c>
      <c r="D113" s="226" t="s">
        <v>122</v>
      </c>
      <c r="E113" s="163" t="s">
        <v>37</v>
      </c>
      <c r="F113" s="13"/>
      <c r="G113" s="208">
        <v>8</v>
      </c>
      <c r="H113" s="208"/>
      <c r="I113" s="208">
        <f>8-(60/300)</f>
        <v>7.8</v>
      </c>
      <c r="J113" s="208">
        <v>60</v>
      </c>
      <c r="K113" s="161">
        <f t="shared" si="7"/>
        <v>3841.04</v>
      </c>
      <c r="L113" s="161">
        <f t="shared" si="8"/>
        <v>3745.0139999999997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20.55892621870883</v>
      </c>
      <c r="Q113" s="161">
        <v>9</v>
      </c>
      <c r="R113" s="19">
        <f t="shared" si="10"/>
        <v>18</v>
      </c>
      <c r="S113" s="161">
        <f t="shared" si="11"/>
        <v>-2.5589262187088302</v>
      </c>
      <c r="T113" s="20">
        <v>2</v>
      </c>
      <c r="U113" s="20">
        <v>2</v>
      </c>
      <c r="V113" s="158">
        <f t="array" ref="V113">IF(ISERROR(L113/K113),"",L113/K113)</f>
        <v>0.97499999999999998</v>
      </c>
      <c r="W113" s="20"/>
      <c r="X113" s="20"/>
      <c r="Y113" s="20"/>
      <c r="Z113" s="20"/>
      <c r="AA113" s="20">
        <v>2</v>
      </c>
      <c r="AB113" s="20"/>
      <c r="AC113" s="20"/>
    </row>
    <row r="114" spans="1:29" ht="21.95" hidden="1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19.668571428571429</v>
      </c>
      <c r="H199" s="161">
        <f t="array" ref="H199">SUM(IF(ISERROR(H6:H198),“”,H6:H198))</f>
        <v>0.5485714285714286</v>
      </c>
      <c r="I199" s="161">
        <f t="array" ref="I199">SUM(IF(ISERROR(I6:I198),“”,I6:I198))</f>
        <v>19.182857142857141</v>
      </c>
      <c r="J199" s="161">
        <f t="array" ref="J199">SUM(IF(ISERROR(J6:J198),“”,J6:J198))</f>
        <v>730</v>
      </c>
      <c r="K199" s="161">
        <f t="array" ref="K199">SUM(IF(ISERROR(K6:K198),“”,K6:K198))</f>
        <v>8294.422742857143</v>
      </c>
      <c r="L199" s="56">
        <f>SUM(L6:L198)</f>
        <v>8075.5967428571421</v>
      </c>
      <c r="M199" s="161"/>
      <c r="N199" s="161"/>
      <c r="O199" s="161">
        <f>SUM(O6:O190)</f>
        <v>1</v>
      </c>
      <c r="P199" s="56">
        <f>SUM((P6:P190),(W204:X209))</f>
        <v>152.94061032148181</v>
      </c>
      <c r="Q199" s="161"/>
      <c r="R199" s="56">
        <f>SUM((R6:R190),(Y204:Z209))</f>
        <v>144.5</v>
      </c>
      <c r="S199" s="161">
        <f t="array" ref="S199">SUM(IF(ISERROR(S6:S198),“”,S6:S198))</f>
        <v>2.5593896785181851</v>
      </c>
      <c r="T199" s="161"/>
      <c r="U199" s="161"/>
      <c r="V199" s="158">
        <f>IF(ISERROR(L199/K199),"",L199/K199)</f>
        <v>0.97361769386682806</v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19.5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>
        <f>IF(ISERROR(P199/R199),"",P199/R199)</f>
        <v>1.0584125281763448</v>
      </c>
      <c r="P200" s="252"/>
      <c r="Q200" s="252"/>
      <c r="R200" s="253"/>
      <c r="S200" s="44"/>
      <c r="T200" s="45"/>
      <c r="U200" s="45"/>
      <c r="V200" s="45"/>
      <c r="W200" s="254">
        <f>SUM(W199:AC199)</f>
        <v>19.5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>
        <v>46</v>
      </c>
      <c r="F202" s="257"/>
      <c r="G202" s="257">
        <v>46</v>
      </c>
      <c r="H202" s="257"/>
      <c r="I202" s="257">
        <f>G202-E202</f>
        <v>0</v>
      </c>
      <c r="J202" s="257"/>
      <c r="K202" s="259">
        <f t="array" ref="K202">IF(ISERROR(I202/E202),"",I202/E202)</f>
        <v>0</v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>
        <v>1630</v>
      </c>
      <c r="F203" s="257"/>
      <c r="G203" s="257">
        <v>1794</v>
      </c>
      <c r="H203" s="257"/>
      <c r="I203" s="257">
        <f>G203-E203</f>
        <v>164</v>
      </c>
      <c r="J203" s="257"/>
      <c r="K203" s="259">
        <f t="array" ref="K203">IF(ISERROR(I203/E203),"",I203/E203)</f>
        <v>0.10061349693251534</v>
      </c>
      <c r="L203" s="259"/>
      <c r="M203" s="244"/>
      <c r="N203" s="245"/>
      <c r="O203" s="260"/>
      <c r="P203" s="260"/>
      <c r="Q203" s="261" t="s">
        <v>193</v>
      </c>
      <c r="R203" s="261"/>
      <c r="S203" s="262">
        <v>8</v>
      </c>
      <c r="T203" s="262"/>
      <c r="U203" s="262">
        <f>2+2+1+3</f>
        <v>8</v>
      </c>
      <c r="V203" s="262"/>
      <c r="W203" s="261">
        <f t="shared" ref="W203:W210" si="28">S203*11</f>
        <v>88</v>
      </c>
      <c r="X203" s="261"/>
      <c r="Y203" s="261">
        <f t="shared" ref="Y203:Y210" si="29">U203*11</f>
        <v>88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>
        <v>0</v>
      </c>
      <c r="F204" s="257"/>
      <c r="G204" s="257">
        <v>0</v>
      </c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>
        <v>2</v>
      </c>
      <c r="T204" s="262"/>
      <c r="U204" s="262">
        <v>3</v>
      </c>
      <c r="V204" s="262"/>
      <c r="W204" s="261">
        <f t="shared" si="28"/>
        <v>22</v>
      </c>
      <c r="X204" s="261"/>
      <c r="Y204" s="261">
        <f t="shared" si="29"/>
        <v>33</v>
      </c>
      <c r="Z204" s="261"/>
      <c r="AA204" s="261">
        <f t="shared" si="30"/>
        <v>11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336">
        <v>0.75</v>
      </c>
      <c r="T205" s="337"/>
      <c r="U205" s="262">
        <v>0</v>
      </c>
      <c r="V205" s="262"/>
      <c r="W205" s="261">
        <f t="shared" si="28"/>
        <v>8.25</v>
      </c>
      <c r="X205" s="261"/>
      <c r="Y205" s="261">
        <f t="shared" si="29"/>
        <v>0</v>
      </c>
      <c r="Z205" s="261"/>
      <c r="AA205" s="261">
        <f t="shared" si="30"/>
        <v>-8.25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>
        <v>147658</v>
      </c>
      <c r="H206" s="264"/>
      <c r="I206" s="302">
        <v>147578</v>
      </c>
      <c r="J206" s="302"/>
      <c r="K206" s="267">
        <f>G206-I206</f>
        <v>80</v>
      </c>
      <c r="L206" s="267"/>
      <c r="M206" s="268">
        <f t="array" ref="M206">IF(ISERROR(K206/L199),"",K206/(L199/1000))</f>
        <v>9.9063886604739064</v>
      </c>
      <c r="N206" s="268"/>
      <c r="O206" s="260"/>
      <c r="P206" s="260"/>
      <c r="Q206" s="261" t="s">
        <v>205</v>
      </c>
      <c r="R206" s="261"/>
      <c r="S206" s="336">
        <v>0.75</v>
      </c>
      <c r="T206" s="337"/>
      <c r="U206" s="262">
        <v>1</v>
      </c>
      <c r="V206" s="262"/>
      <c r="W206" s="261">
        <f t="shared" si="28"/>
        <v>8.25</v>
      </c>
      <c r="X206" s="261"/>
      <c r="Y206" s="261">
        <f t="shared" si="29"/>
        <v>11</v>
      </c>
      <c r="Z206" s="261"/>
      <c r="AA206" s="261">
        <f t="shared" si="30"/>
        <v>2.75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>
        <f>28404.7*120+44599.8*60</f>
        <v>6084552</v>
      </c>
      <c r="H207" s="264"/>
      <c r="I207" s="300">
        <f>28397.9*120+44593.2*60</f>
        <v>6083340</v>
      </c>
      <c r="J207" s="301"/>
      <c r="K207" s="267">
        <f>G207-I207</f>
        <v>1212</v>
      </c>
      <c r="L207" s="267"/>
      <c r="M207" s="268">
        <f t="array" ref="M207">IF(ISERROR(K207/L199),"",K207/(L199/1000))</f>
        <v>150.08178820617968</v>
      </c>
      <c r="N207" s="268"/>
      <c r="O207" s="260"/>
      <c r="P207" s="260"/>
      <c r="Q207" s="261" t="s">
        <v>208</v>
      </c>
      <c r="R207" s="261"/>
      <c r="S207" s="336">
        <v>1.5</v>
      </c>
      <c r="T207" s="337"/>
      <c r="U207" s="262">
        <v>0</v>
      </c>
      <c r="V207" s="262"/>
      <c r="W207" s="261">
        <f t="shared" si="28"/>
        <v>16.5</v>
      </c>
      <c r="X207" s="261"/>
      <c r="Y207" s="261">
        <f t="shared" si="29"/>
        <v>0</v>
      </c>
      <c r="Z207" s="261"/>
      <c r="AA207" s="261">
        <f t="shared" si="30"/>
        <v>-16.5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>
        <f t="array" ref="M208">IF(ISERROR(K208/L199),"",K208/(L199/1000))</f>
        <v>0</v>
      </c>
      <c r="N208" s="271"/>
      <c r="O208" s="260"/>
      <c r="P208" s="260"/>
      <c r="Q208" s="261" t="s">
        <v>211</v>
      </c>
      <c r="R208" s="261"/>
      <c r="S208" s="336">
        <v>1</v>
      </c>
      <c r="T208" s="337"/>
      <c r="U208" s="262">
        <v>1</v>
      </c>
      <c r="V208" s="262"/>
      <c r="W208" s="261">
        <f t="shared" si="28"/>
        <v>11</v>
      </c>
      <c r="X208" s="261"/>
      <c r="Y208" s="261">
        <f t="shared" si="29"/>
        <v>11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79" t="s">
        <v>321</v>
      </c>
      <c r="L209" s="279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336">
        <v>3</v>
      </c>
      <c r="T209" s="337"/>
      <c r="U209" s="262">
        <v>3</v>
      </c>
      <c r="V209" s="262"/>
      <c r="W209" s="261">
        <f t="shared" si="28"/>
        <v>33</v>
      </c>
      <c r="X209" s="261"/>
      <c r="Y209" s="261">
        <f t="shared" si="29"/>
        <v>33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17</v>
      </c>
      <c r="T210" s="262"/>
      <c r="U210" s="262">
        <f>SUM(U203:V209)</f>
        <v>16</v>
      </c>
      <c r="V210" s="262"/>
      <c r="W210" s="261">
        <f t="shared" si="28"/>
        <v>187</v>
      </c>
      <c r="X210" s="261"/>
      <c r="Y210" s="261">
        <f t="shared" si="29"/>
        <v>176</v>
      </c>
      <c r="Z210" s="261"/>
      <c r="AA210" s="261">
        <f t="shared" si="30"/>
        <v>-11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>
        <f t="array" ref="S211">IF(ISERROR(L199/Y210),"",L199/Y210)</f>
        <v>45.884072402597397</v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hidden="1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hidden="1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hidden="1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hidden="1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hidden="1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hidden="1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hidden="1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hidden="1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hidden="1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hidden="1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hidden="1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>
        <v>3602</v>
      </c>
      <c r="C251" s="226" t="s">
        <v>61</v>
      </c>
      <c r="D251" s="226" t="s">
        <v>62</v>
      </c>
      <c r="E251" s="163" t="s">
        <v>63</v>
      </c>
      <c r="F251" s="162"/>
      <c r="G251" s="220">
        <f>+H251</f>
        <v>0.88</v>
      </c>
      <c r="H251" s="220">
        <f>220/250</f>
        <v>0.88</v>
      </c>
      <c r="I251" s="220">
        <f>+H251</f>
        <v>0.88</v>
      </c>
      <c r="J251" s="220"/>
      <c r="K251" s="161">
        <f t="shared" si="31"/>
        <v>322.89839999999998</v>
      </c>
      <c r="L251" s="161">
        <f t="shared" si="32"/>
        <v>322.89839999999998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2.3126944563816072</v>
      </c>
      <c r="Q251" s="161">
        <v>1</v>
      </c>
      <c r="R251" s="19">
        <f t="shared" si="35"/>
        <v>3</v>
      </c>
      <c r="S251" s="161">
        <f t="shared" si="36"/>
        <v>0.6873055436183928</v>
      </c>
      <c r="T251" s="20">
        <v>2</v>
      </c>
      <c r="U251" s="20">
        <v>3</v>
      </c>
      <c r="V251" s="158">
        <f t="array" ref="V251">IF(ISERROR(L251/K251),"",L251/K251)</f>
        <v>1</v>
      </c>
      <c r="W251" s="20"/>
      <c r="X251" s="20"/>
      <c r="Y251" s="20"/>
      <c r="Z251" s="20"/>
      <c r="AA251" s="20">
        <v>4</v>
      </c>
      <c r="AB251" s="20"/>
      <c r="AC251" s="20"/>
    </row>
    <row r="252" spans="1:29" s="2" customFormat="1" ht="21.95" customHeight="1">
      <c r="A252" s="157">
        <v>300037</v>
      </c>
      <c r="B252" s="150">
        <v>3602</v>
      </c>
      <c r="C252" s="226" t="s">
        <v>61</v>
      </c>
      <c r="D252" s="226" t="s">
        <v>62</v>
      </c>
      <c r="E252" s="163" t="s">
        <v>37</v>
      </c>
      <c r="F252" s="162"/>
      <c r="G252" s="220">
        <v>4</v>
      </c>
      <c r="H252" s="220"/>
      <c r="I252" s="220">
        <v>4</v>
      </c>
      <c r="J252" s="220"/>
      <c r="K252" s="161">
        <f t="shared" si="31"/>
        <v>1467.72</v>
      </c>
      <c r="L252" s="161">
        <f t="shared" si="32"/>
        <v>1467.72</v>
      </c>
      <c r="M252" s="161">
        <v>366.93</v>
      </c>
      <c r="N252" s="161">
        <f>+M252*1000/(35.8*10*13*60)*T252</f>
        <v>2.6280618822518265</v>
      </c>
      <c r="O252" s="161">
        <v>0.5</v>
      </c>
      <c r="P252" s="161">
        <f t="shared" si="34"/>
        <v>12.012247529007306</v>
      </c>
      <c r="Q252" s="161">
        <v>5</v>
      </c>
      <c r="R252" s="19">
        <f t="shared" si="35"/>
        <v>15</v>
      </c>
      <c r="S252" s="161">
        <f t="shared" si="36"/>
        <v>2.9877524709926941</v>
      </c>
      <c r="T252" s="20">
        <v>2</v>
      </c>
      <c r="U252" s="20">
        <v>3</v>
      </c>
      <c r="V252" s="158">
        <f t="array" ref="V252">IF(ISERROR(L252/K252),"",L252/K252)</f>
        <v>1</v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220"/>
      <c r="H253" s="220"/>
      <c r="I253" s="220"/>
      <c r="J253" s="220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220"/>
      <c r="H254" s="220"/>
      <c r="I254" s="220"/>
      <c r="J254" s="220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41"/>
      <c r="H255" s="41"/>
      <c r="I255" s="41"/>
      <c r="J255" s="41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41"/>
      <c r="H256" s="41"/>
      <c r="I256" s="41"/>
      <c r="J256" s="41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41"/>
      <c r="H257" s="41"/>
      <c r="I257" s="41"/>
      <c r="J257" s="41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41"/>
      <c r="H258" s="41"/>
      <c r="I258" s="41"/>
      <c r="J258" s="41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220"/>
      <c r="H259" s="220"/>
      <c r="I259" s="220"/>
      <c r="J259" s="220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220"/>
      <c r="H260" s="220"/>
      <c r="I260" s="220"/>
      <c r="J260" s="220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220"/>
      <c r="H261" s="220"/>
      <c r="I261" s="220"/>
      <c r="J261" s="220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220"/>
      <c r="H262" s="220"/>
      <c r="I262" s="220"/>
      <c r="J262" s="220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220"/>
      <c r="H263" s="220"/>
      <c r="I263" s="220"/>
      <c r="J263" s="220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220"/>
      <c r="H264" s="220"/>
      <c r="I264" s="220"/>
      <c r="J264" s="220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220"/>
      <c r="H265" s="220"/>
      <c r="I265" s="220"/>
      <c r="J265" s="220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5"/>
      <c r="H266" s="15"/>
      <c r="I266" s="15"/>
      <c r="J266" s="15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220"/>
      <c r="H267" s="220"/>
      <c r="I267" s="220"/>
      <c r="J267" s="220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220"/>
      <c r="H268" s="220"/>
      <c r="I268" s="220"/>
      <c r="J268" s="220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220"/>
      <c r="H269" s="220"/>
      <c r="I269" s="220"/>
      <c r="J269" s="22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>
        <v>4503</v>
      </c>
      <c r="C270" s="237" t="s">
        <v>301</v>
      </c>
      <c r="D270" s="238"/>
      <c r="E270" s="163" t="s">
        <v>80</v>
      </c>
      <c r="F270" s="162"/>
      <c r="G270" s="220">
        <f>+I270</f>
        <v>2.2857142857142856</v>
      </c>
      <c r="H270" s="220">
        <f>450/350</f>
        <v>1.2857142857142858</v>
      </c>
      <c r="I270" s="220">
        <f>H270+1</f>
        <v>2.2857142857142856</v>
      </c>
      <c r="J270" s="220"/>
      <c r="K270" s="161">
        <f t="shared" si="31"/>
        <v>982.4</v>
      </c>
      <c r="L270" s="161">
        <f t="shared" si="32"/>
        <v>982.4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8.3965811965811969</v>
      </c>
      <c r="Q270" s="161">
        <v>2</v>
      </c>
      <c r="R270" s="19">
        <f t="shared" si="35"/>
        <v>8</v>
      </c>
      <c r="S270" s="161">
        <f t="shared" si="36"/>
        <v>-0.39658119658119695</v>
      </c>
      <c r="T270" s="20">
        <v>3</v>
      </c>
      <c r="U270" s="20">
        <v>4</v>
      </c>
      <c r="V270" s="221">
        <f t="array" ref="V270">IF(ISERROR(L270/K270),"",L270/K270)</f>
        <v>1</v>
      </c>
      <c r="W270" s="20"/>
      <c r="X270" s="20"/>
      <c r="Y270" s="20"/>
      <c r="Z270" s="20"/>
      <c r="AA270" s="20">
        <v>0.5</v>
      </c>
      <c r="AB270" s="20"/>
      <c r="AC270" s="20"/>
    </row>
    <row r="271" spans="1:29" s="2" customFormat="1" ht="21.95" customHeight="1">
      <c r="A271" s="157">
        <v>300149</v>
      </c>
      <c r="B271" s="150">
        <v>4503</v>
      </c>
      <c r="C271" s="226" t="s">
        <v>81</v>
      </c>
      <c r="D271" s="226" t="s">
        <v>82</v>
      </c>
      <c r="E271" s="163" t="s">
        <v>80</v>
      </c>
      <c r="F271" s="162"/>
      <c r="G271" s="220">
        <v>4</v>
      </c>
      <c r="H271" s="220"/>
      <c r="I271" s="220">
        <v>4</v>
      </c>
      <c r="J271" s="220"/>
      <c r="K271" s="161">
        <f t="shared" si="31"/>
        <v>2356.4</v>
      </c>
      <c r="L271" s="161">
        <f t="shared" si="32"/>
        <v>2356.4</v>
      </c>
      <c r="M271" s="161">
        <v>589.1</v>
      </c>
      <c r="N271" s="161">
        <f>+M271*1000/(67.1*10*13*60)*T271</f>
        <v>3.3767052619511633</v>
      </c>
      <c r="O271" s="161">
        <v>0.5</v>
      </c>
      <c r="P271" s="161">
        <f t="shared" si="34"/>
        <v>15.506821047804653</v>
      </c>
      <c r="Q271" s="161">
        <v>6</v>
      </c>
      <c r="R271" s="19">
        <f t="shared" si="35"/>
        <v>24</v>
      </c>
      <c r="S271" s="161">
        <f t="shared" si="36"/>
        <v>8.4931789521953469</v>
      </c>
      <c r="T271" s="20">
        <v>3</v>
      </c>
      <c r="U271" s="20">
        <v>4</v>
      </c>
      <c r="V271" s="221">
        <f t="array" ref="V271">IF(ISERROR(L271/K271),"",L271/K271)</f>
        <v>1</v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>
        <v>4503</v>
      </c>
      <c r="C272" s="226" t="s">
        <v>81</v>
      </c>
      <c r="D272" s="226" t="s">
        <v>82</v>
      </c>
      <c r="E272" s="163" t="s">
        <v>54</v>
      </c>
      <c r="F272" s="162"/>
      <c r="G272" s="220">
        <v>2.5</v>
      </c>
      <c r="H272" s="220"/>
      <c r="I272" s="220">
        <f>3-(400/500)</f>
        <v>2.2000000000000002</v>
      </c>
      <c r="J272" s="220">
        <v>400</v>
      </c>
      <c r="K272" s="161">
        <f t="shared" si="31"/>
        <v>1472.75</v>
      </c>
      <c r="L272" s="161">
        <f t="shared" si="32"/>
        <v>1296.0200000000002</v>
      </c>
      <c r="M272" s="161">
        <v>589.1</v>
      </c>
      <c r="N272" s="161">
        <f>+M272*1000/(67.1*10*13*60)*T272</f>
        <v>3.3767052619511633</v>
      </c>
      <c r="O272" s="161">
        <v>0.5</v>
      </c>
      <c r="P272" s="161">
        <f t="shared" si="34"/>
        <v>9.4287515762925587</v>
      </c>
      <c r="Q272" s="161">
        <v>2</v>
      </c>
      <c r="R272" s="19">
        <f t="shared" si="35"/>
        <v>8</v>
      </c>
      <c r="S272" s="161">
        <f t="shared" si="36"/>
        <v>-1.4287515762925587</v>
      </c>
      <c r="T272" s="20">
        <v>3</v>
      </c>
      <c r="U272" s="20">
        <v>4</v>
      </c>
      <c r="V272" s="221">
        <f t="array" ref="V272">IF(ISERROR(L272/K272),"",L272/K272)</f>
        <v>0.88000000000000012</v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220"/>
      <c r="H273" s="220"/>
      <c r="I273" s="220"/>
      <c r="J273" s="220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22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220"/>
      <c r="H274" s="220"/>
      <c r="I274" s="220"/>
      <c r="J274" s="220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221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220"/>
      <c r="H275" s="220"/>
      <c r="I275" s="220"/>
      <c r="J275" s="220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221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220"/>
      <c r="H276" s="220"/>
      <c r="I276" s="220"/>
      <c r="J276" s="220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221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220"/>
      <c r="H277" s="220"/>
      <c r="I277" s="220"/>
      <c r="J277" s="220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221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220"/>
      <c r="H278" s="220"/>
      <c r="I278" s="220"/>
      <c r="J278" s="220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221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220"/>
      <c r="H279" s="220"/>
      <c r="I279" s="220"/>
      <c r="J279" s="220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22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220"/>
      <c r="H280" s="220"/>
      <c r="I280" s="220"/>
      <c r="J280" s="220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22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220"/>
      <c r="H281" s="220"/>
      <c r="I281" s="220"/>
      <c r="J281" s="220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22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220"/>
      <c r="H282" s="220"/>
      <c r="I282" s="220"/>
      <c r="J282" s="220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22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220"/>
      <c r="H283" s="220"/>
      <c r="I283" s="220"/>
      <c r="J283" s="220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22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220"/>
      <c r="H284" s="220"/>
      <c r="I284" s="220"/>
      <c r="J284" s="220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22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220"/>
      <c r="H285" s="220"/>
      <c r="I285" s="220"/>
      <c r="J285" s="220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22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220"/>
      <c r="H286" s="220"/>
      <c r="I286" s="220"/>
      <c r="J286" s="220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22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220"/>
      <c r="H287" s="220"/>
      <c r="I287" s="220"/>
      <c r="J287" s="220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22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220"/>
      <c r="H288" s="220"/>
      <c r="I288" s="220"/>
      <c r="J288" s="220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22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220"/>
      <c r="H289" s="220"/>
      <c r="I289" s="220"/>
      <c r="J289" s="220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22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220"/>
      <c r="H290" s="220"/>
      <c r="I290" s="220"/>
      <c r="J290" s="220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221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220"/>
      <c r="H291" s="220"/>
      <c r="I291" s="220"/>
      <c r="J291" s="220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22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5"/>
      <c r="H292" s="15"/>
      <c r="I292" s="15"/>
      <c r="J292" s="15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21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220"/>
      <c r="H293" s="220"/>
      <c r="I293" s="220"/>
      <c r="J293" s="220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22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220"/>
      <c r="H294" s="220"/>
      <c r="I294" s="220"/>
      <c r="J294" s="220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221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220"/>
      <c r="H295" s="220"/>
      <c r="I295" s="220"/>
      <c r="J295" s="220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221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220"/>
      <c r="H296" s="220"/>
      <c r="I296" s="220"/>
      <c r="J296" s="220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221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220"/>
      <c r="H297" s="220"/>
      <c r="I297" s="220"/>
      <c r="J297" s="220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22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220"/>
      <c r="H298" s="220"/>
      <c r="I298" s="220"/>
      <c r="J298" s="220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22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220"/>
      <c r="H299" s="220"/>
      <c r="I299" s="220"/>
      <c r="J299" s="220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22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220"/>
      <c r="H300" s="220"/>
      <c r="I300" s="220"/>
      <c r="J300" s="220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22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220"/>
      <c r="H301" s="220"/>
      <c r="I301" s="220"/>
      <c r="J301" s="220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22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220"/>
      <c r="H302" s="220"/>
      <c r="I302" s="220"/>
      <c r="J302" s="220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22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220"/>
      <c r="H303" s="220"/>
      <c r="I303" s="220"/>
      <c r="J303" s="220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22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220"/>
      <c r="H304" s="220"/>
      <c r="I304" s="220"/>
      <c r="J304" s="220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22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220"/>
      <c r="H305" s="220"/>
      <c r="I305" s="220"/>
      <c r="J305" s="220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22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220"/>
      <c r="H306" s="220"/>
      <c r="I306" s="220"/>
      <c r="J306" s="220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22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220"/>
      <c r="H307" s="220"/>
      <c r="I307" s="220"/>
      <c r="J307" s="220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22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220"/>
      <c r="H308" s="220"/>
      <c r="I308" s="220"/>
      <c r="J308" s="220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22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220"/>
      <c r="H309" s="220"/>
      <c r="I309" s="220"/>
      <c r="J309" s="220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22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220"/>
      <c r="H310" s="220"/>
      <c r="I310" s="220"/>
      <c r="J310" s="220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22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220"/>
      <c r="H311" s="220"/>
      <c r="I311" s="220"/>
      <c r="J311" s="220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22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220"/>
      <c r="H312" s="220"/>
      <c r="I312" s="220"/>
      <c r="J312" s="22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221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220"/>
      <c r="H313" s="220"/>
      <c r="I313" s="220"/>
      <c r="J313" s="22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221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220"/>
      <c r="H314" s="220"/>
      <c r="I314" s="220"/>
      <c r="J314" s="22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221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220"/>
      <c r="H315" s="220"/>
      <c r="I315" s="220"/>
      <c r="J315" s="220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22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220"/>
      <c r="H316" s="220"/>
      <c r="I316" s="220"/>
      <c r="J316" s="220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22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28"/>
      <c r="H317" s="28"/>
      <c r="I317" s="28"/>
      <c r="J317" s="28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21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28"/>
      <c r="H318" s="28"/>
      <c r="I318" s="28"/>
      <c r="J318" s="28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21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28"/>
      <c r="H319" s="28"/>
      <c r="I319" s="28"/>
      <c r="J319" s="28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21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220"/>
      <c r="H320" s="220"/>
      <c r="I320" s="220"/>
      <c r="J320" s="220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22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220"/>
      <c r="H321" s="220"/>
      <c r="I321" s="220"/>
      <c r="J321" s="220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22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220">
        <f>+H322</f>
        <v>0.2</v>
      </c>
      <c r="H322" s="220">
        <f>60/300</f>
        <v>0.2</v>
      </c>
      <c r="I322" s="220">
        <f>+H322</f>
        <v>0.2</v>
      </c>
      <c r="J322" s="220"/>
      <c r="K322" s="161">
        <f t="shared" si="38"/>
        <v>96.02600000000001</v>
      </c>
      <c r="L322" s="161">
        <f t="shared" si="39"/>
        <v>96.02600000000001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0.52715195432586748</v>
      </c>
      <c r="Q322" s="161">
        <v>1</v>
      </c>
      <c r="R322" s="19">
        <f t="shared" si="41"/>
        <v>2</v>
      </c>
      <c r="S322" s="161">
        <f t="shared" si="42"/>
        <v>1.4728480456741324</v>
      </c>
      <c r="T322" s="20">
        <v>2</v>
      </c>
      <c r="U322" s="20">
        <v>2</v>
      </c>
      <c r="V322" s="221">
        <f t="array" ref="V322">IF(ISERROR(L322/K322),"",L322/K322)</f>
        <v>1</v>
      </c>
      <c r="W322" s="20"/>
      <c r="X322" s="20"/>
      <c r="Y322" s="20"/>
      <c r="Z322" s="20"/>
      <c r="AA322" s="20">
        <v>0.5</v>
      </c>
      <c r="AB322" s="20"/>
      <c r="AC322" s="20"/>
    </row>
    <row r="323" spans="1:29" s="2" customFormat="1" ht="21.95" hidden="1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220"/>
      <c r="H323" s="220"/>
      <c r="I323" s="220"/>
      <c r="J323" s="220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22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220">
        <v>8</v>
      </c>
      <c r="H324" s="220"/>
      <c r="I324" s="220">
        <v>8</v>
      </c>
      <c r="J324" s="220"/>
      <c r="K324" s="161">
        <f t="shared" si="38"/>
        <v>3841.04</v>
      </c>
      <c r="L324" s="161">
        <f t="shared" si="39"/>
        <v>3841.04</v>
      </c>
      <c r="M324" s="161">
        <v>480.13</v>
      </c>
      <c r="N324" s="161">
        <f>+M324*1000/(126.5*4*12*60)*T324</f>
        <v>2.6357597716293371</v>
      </c>
      <c r="O324" s="161">
        <v>0.5</v>
      </c>
      <c r="P324" s="161">
        <f t="shared" si="40"/>
        <v>22.086078173034696</v>
      </c>
      <c r="Q324" s="161">
        <v>9.5</v>
      </c>
      <c r="R324" s="19">
        <f t="shared" si="41"/>
        <v>19</v>
      </c>
      <c r="S324" s="161">
        <f t="shared" si="42"/>
        <v>-3.0860781730346964</v>
      </c>
      <c r="T324" s="20">
        <v>2</v>
      </c>
      <c r="U324" s="20">
        <v>2</v>
      </c>
      <c r="V324" s="221">
        <f t="array" ref="V324">IF(ISERROR(L324/K324),"",L324/K324)</f>
        <v>1</v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22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22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22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22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22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221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221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221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221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221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22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22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22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22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221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221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22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22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22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22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22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22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22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22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22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22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22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22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221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221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22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22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22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22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221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221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221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221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221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221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221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221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221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221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221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221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221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221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221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221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221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221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22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22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22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22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22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22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22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22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22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22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22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22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22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22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22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22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22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22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22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22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22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22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22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221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221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221" t="str">
        <f t="array" ref="V402">IF(ISERROR(L402/K402),"",L402/K402)</f>
        <v/>
      </c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221" t="str">
        <f t="array" ref="V403">IF(ISERROR(L403/K403),"",L403/K403)</f>
        <v/>
      </c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22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22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22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22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21.865714285714283</v>
      </c>
      <c r="H408" s="161">
        <f t="array" ref="H408">SUM(IF(ISERROR(H215:H407),“”,H215:H407))</f>
        <v>2.3657142857142861</v>
      </c>
      <c r="I408" s="161">
        <f t="array" ref="I408">SUM(IF(ISERROR(I215:I407),“”,I215:I407))</f>
        <v>21.565714285714286</v>
      </c>
      <c r="J408" s="161">
        <f t="array" ref="J408">SUM(IF(ISERROR(J215:J407),“”,J215:J407))</f>
        <v>400</v>
      </c>
      <c r="K408" s="161">
        <f t="array" ref="K408">SUM(IF(ISERROR(K215:K407),“”,K215:K407))</f>
        <v>10539.234400000001</v>
      </c>
      <c r="L408" s="117">
        <f>SUM(L215:L399)</f>
        <v>10362.504400000002</v>
      </c>
      <c r="M408" s="161"/>
      <c r="N408" s="161"/>
      <c r="O408" s="161">
        <f t="array" ref="O408">SUM(IF(ISERROR(O215:O407),“”,O215:O407))</f>
        <v>2</v>
      </c>
      <c r="P408" s="56">
        <f>SUM((P215:P399),(W413:X418))</f>
        <v>173.7703259334279</v>
      </c>
      <c r="Q408" s="161"/>
      <c r="R408" s="56">
        <f>SUM((R215:R399),(Y413:Z418))</f>
        <v>159.5</v>
      </c>
      <c r="S408" s="161">
        <f t="array" ref="S408">SUM(IF(ISERROR(S215:S407),“”,S215:S407))</f>
        <v>8.7296740665721142</v>
      </c>
      <c r="T408" s="161"/>
      <c r="U408" s="161"/>
      <c r="V408" s="221">
        <f t="array" ref="V408">IF(ISERROR(L408/K408),"",L408/K408)</f>
        <v>0.98323122977509647</v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5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>
        <f t="array" ref="O409">IF(ISERROR(P408/R408),"",P408/R408)</f>
        <v>1.0894691281092659</v>
      </c>
      <c r="P409" s="252"/>
      <c r="Q409" s="252"/>
      <c r="R409" s="253"/>
      <c r="S409" s="44"/>
      <c r="T409" s="45"/>
      <c r="U409" s="45"/>
      <c r="V409" s="45"/>
      <c r="W409" s="254">
        <f>SUM(W408:AC408)</f>
        <v>5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>
        <v>116</v>
      </c>
      <c r="F411" s="257"/>
      <c r="G411" s="257">
        <v>115.9</v>
      </c>
      <c r="H411" s="257"/>
      <c r="I411" s="257">
        <f>G411-E411</f>
        <v>-9.9999999999994316E-2</v>
      </c>
      <c r="J411" s="257"/>
      <c r="K411" s="259">
        <f t="array" ref="K411">IF(ISERROR(I411/E411),"",I411/E411)</f>
        <v>-8.6206896551719236E-4</v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>
        <v>1683.4</v>
      </c>
      <c r="F412" s="257"/>
      <c r="G412" s="257">
        <v>1883.4</v>
      </c>
      <c r="H412" s="257"/>
      <c r="I412" s="257">
        <f>G412-E412</f>
        <v>200</v>
      </c>
      <c r="J412" s="257"/>
      <c r="K412" s="259">
        <f t="array" ref="K412">IF(ISERROR(I412/E412),"",I412/E412)</f>
        <v>0.11880717595342757</v>
      </c>
      <c r="L412" s="259"/>
      <c r="M412" s="244"/>
      <c r="N412" s="245"/>
      <c r="O412" s="299"/>
      <c r="P412" s="299"/>
      <c r="Q412" s="261" t="s">
        <v>193</v>
      </c>
      <c r="R412" s="261"/>
      <c r="S412" s="262">
        <v>8</v>
      </c>
      <c r="T412" s="262"/>
      <c r="U412" s="262">
        <f>4+3+2</f>
        <v>9</v>
      </c>
      <c r="V412" s="262"/>
      <c r="W412" s="261">
        <f>S412*11.5</f>
        <v>92</v>
      </c>
      <c r="X412" s="261"/>
      <c r="Y412" s="261">
        <f t="shared" ref="Y412:Y418" si="59">U412*11.5</f>
        <v>103.5</v>
      </c>
      <c r="Z412" s="261"/>
      <c r="AA412" s="261">
        <f t="shared" ref="AA412:AA419" si="60">Y412-W412</f>
        <v>11.5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>
        <v>0</v>
      </c>
      <c r="F413" s="257"/>
      <c r="G413" s="257">
        <v>0</v>
      </c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>
        <v>2</v>
      </c>
      <c r="T413" s="262"/>
      <c r="U413" s="262">
        <v>3</v>
      </c>
      <c r="V413" s="262"/>
      <c r="W413" s="261">
        <f t="shared" ref="W413:W418" si="61">S413*11.5</f>
        <v>23</v>
      </c>
      <c r="X413" s="261"/>
      <c r="Y413" s="261">
        <f t="shared" si="59"/>
        <v>34.5</v>
      </c>
      <c r="Z413" s="261"/>
      <c r="AA413" s="261">
        <f t="shared" si="60"/>
        <v>11.5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336">
        <v>0.75</v>
      </c>
      <c r="T414" s="337"/>
      <c r="U414" s="262">
        <v>0</v>
      </c>
      <c r="V414" s="262"/>
      <c r="W414" s="261">
        <f t="shared" si="61"/>
        <v>8.625</v>
      </c>
      <c r="X414" s="261"/>
      <c r="Y414" s="261">
        <f t="shared" si="59"/>
        <v>0</v>
      </c>
      <c r="Z414" s="261"/>
      <c r="AA414" s="261">
        <f t="shared" si="60"/>
        <v>-8.625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>
        <v>147786</v>
      </c>
      <c r="H415" s="302"/>
      <c r="I415" s="263">
        <v>147658</v>
      </c>
      <c r="J415" s="264"/>
      <c r="K415" s="267">
        <f>G415-I415</f>
        <v>128</v>
      </c>
      <c r="L415" s="267"/>
      <c r="M415" s="268">
        <f t="array" ref="M415">IF(ISERROR(K415/L408),"",K415/(L408/1000))</f>
        <v>12.352226359488926</v>
      </c>
      <c r="N415" s="268"/>
      <c r="O415" s="299"/>
      <c r="P415" s="299"/>
      <c r="Q415" s="261" t="s">
        <v>205</v>
      </c>
      <c r="R415" s="261"/>
      <c r="S415" s="336">
        <v>0.75</v>
      </c>
      <c r="T415" s="337"/>
      <c r="U415" s="262">
        <v>1</v>
      </c>
      <c r="V415" s="262"/>
      <c r="W415" s="261">
        <f t="shared" si="61"/>
        <v>8.625</v>
      </c>
      <c r="X415" s="261"/>
      <c r="Y415" s="261">
        <f t="shared" si="59"/>
        <v>11.5</v>
      </c>
      <c r="Z415" s="261"/>
      <c r="AA415" s="261">
        <f t="shared" si="60"/>
        <v>2.875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>
        <f>28411.7*120+44607.6*60</f>
        <v>6085860</v>
      </c>
      <c r="H416" s="301"/>
      <c r="I416" s="263">
        <f>28404.7*120+44599.8*60</f>
        <v>6084552</v>
      </c>
      <c r="J416" s="264"/>
      <c r="K416" s="267">
        <f>G416-I416</f>
        <v>1308</v>
      </c>
      <c r="L416" s="267"/>
      <c r="M416" s="268">
        <f t="array" ref="M416">IF(ISERROR(K416/L408),"",K416/(L408/1000))</f>
        <v>126.22431311102746</v>
      </c>
      <c r="N416" s="268"/>
      <c r="O416" s="299"/>
      <c r="P416" s="299"/>
      <c r="Q416" s="261" t="s">
        <v>208</v>
      </c>
      <c r="R416" s="261"/>
      <c r="S416" s="336">
        <v>1.5</v>
      </c>
      <c r="T416" s="337"/>
      <c r="U416" s="262">
        <v>0</v>
      </c>
      <c r="V416" s="262"/>
      <c r="W416" s="261">
        <f t="shared" si="61"/>
        <v>17.25</v>
      </c>
      <c r="X416" s="261"/>
      <c r="Y416" s="261">
        <f t="shared" si="59"/>
        <v>0</v>
      </c>
      <c r="Z416" s="261"/>
      <c r="AA416" s="261">
        <f t="shared" si="60"/>
        <v>-17.25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>
        <f t="array" ref="M417">IF(ISERROR(K417/L408),"",K417/(L408/1000))</f>
        <v>0</v>
      </c>
      <c r="N417" s="271"/>
      <c r="O417" s="299"/>
      <c r="P417" s="299"/>
      <c r="Q417" s="261" t="s">
        <v>211</v>
      </c>
      <c r="R417" s="261"/>
      <c r="S417" s="336">
        <v>1</v>
      </c>
      <c r="T417" s="337"/>
      <c r="U417" s="262">
        <v>1</v>
      </c>
      <c r="V417" s="262"/>
      <c r="W417" s="261">
        <f t="shared" si="61"/>
        <v>11.5</v>
      </c>
      <c r="X417" s="261"/>
      <c r="Y417" s="261">
        <f t="shared" si="59"/>
        <v>11.5</v>
      </c>
      <c r="Z417" s="261"/>
      <c r="AA417" s="261">
        <f t="shared" si="60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 t="s">
        <v>321</v>
      </c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36">
        <v>3</v>
      </c>
      <c r="T418" s="337"/>
      <c r="U418" s="262">
        <v>2</v>
      </c>
      <c r="V418" s="262"/>
      <c r="W418" s="261">
        <f t="shared" si="61"/>
        <v>34.5</v>
      </c>
      <c r="X418" s="261"/>
      <c r="Y418" s="261">
        <f t="shared" si="59"/>
        <v>23</v>
      </c>
      <c r="Z418" s="261"/>
      <c r="AA418" s="261">
        <f t="shared" si="60"/>
        <v>-11.5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17</v>
      </c>
      <c r="T419" s="262"/>
      <c r="U419" s="262">
        <f>SUM(U412:V418)</f>
        <v>16</v>
      </c>
      <c r="V419" s="262"/>
      <c r="W419" s="261">
        <f t="shared" ref="W419" si="62">S419*9</f>
        <v>153</v>
      </c>
      <c r="X419" s="261"/>
      <c r="Y419" s="261">
        <f t="shared" ref="Y419" si="63">U419*9</f>
        <v>144</v>
      </c>
      <c r="Z419" s="261"/>
      <c r="AA419" s="261">
        <f t="shared" si="60"/>
        <v>-9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>
        <f t="array" ref="S420">IF(ISERROR(L408/Y419),"",L408/Y419)</f>
        <v>71.961836111111126</v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18833.657142857144</v>
      </c>
      <c r="D423" s="315"/>
      <c r="E423" s="311" t="s">
        <v>226</v>
      </c>
      <c r="F423" s="311"/>
      <c r="G423" s="311">
        <f>L199+L408</f>
        <v>18438.101142857144</v>
      </c>
      <c r="H423" s="311"/>
      <c r="I423" s="318" t="s">
        <v>227</v>
      </c>
      <c r="J423" s="318"/>
      <c r="K423" s="317">
        <f>IF(ISERROR(G423/C423),"",G423/C423)</f>
        <v>0.97899738765553457</v>
      </c>
      <c r="L423" s="317"/>
      <c r="M423" s="311" t="s">
        <v>228</v>
      </c>
      <c r="N423" s="311"/>
      <c r="O423" s="312">
        <f>IF(ISERROR(G423/G424),"",G423/G424)</f>
        <v>60.651648496240604</v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326.71093625490971</v>
      </c>
      <c r="D424" s="315"/>
      <c r="E424" s="316" t="s">
        <v>18</v>
      </c>
      <c r="F424" s="316"/>
      <c r="G424" s="311">
        <f>R199+R408</f>
        <v>304</v>
      </c>
      <c r="H424" s="311"/>
      <c r="I424" s="291" t="s">
        <v>176</v>
      </c>
      <c r="J424" s="291"/>
      <c r="K424" s="317">
        <f>IF(ISERROR(C424/G424),"",C424/G424)</f>
        <v>1.0747070271543082</v>
      </c>
      <c r="L424" s="317"/>
      <c r="M424" s="257" t="s">
        <v>230</v>
      </c>
      <c r="N424" s="257"/>
      <c r="O424" s="311">
        <f>W200+W409</f>
        <v>24.5</v>
      </c>
      <c r="P424" s="257"/>
      <c r="Q424" s="257" t="s">
        <v>231</v>
      </c>
      <c r="R424" s="257"/>
      <c r="S424" s="317">
        <f t="array" ref="S424">IF(ISERROR(O424/G424),"",O424/G424)</f>
        <v>8.0592105263157895E-2</v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208</v>
      </c>
      <c r="D426" s="315"/>
      <c r="E426" s="311" t="s">
        <v>234</v>
      </c>
      <c r="F426" s="311"/>
      <c r="G426" s="271">
        <f t="array" ref="G426">IF(ISERROR(C426/G423),"",C426/(G423/1000))</f>
        <v>11.280988122824052</v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2520</v>
      </c>
      <c r="D427" s="315"/>
      <c r="E427" s="311" t="s">
        <v>236</v>
      </c>
      <c r="F427" s="311"/>
      <c r="G427" s="271">
        <f>IF(ISERROR(C427/G423),"",C427/(G423/1000))</f>
        <v>136.67350994959909</v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>
        <f>IF(ISERROR(C428/G423),"",C428/(G423/1000))</f>
        <v>0</v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 t="e">
        <f>K209+K418</f>
        <v>#VALUE!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>
        <f>IF(ISERROR(C430/G423),"",C430/(G423/1000))</f>
        <v>0</v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162</v>
      </c>
      <c r="D432" s="324"/>
      <c r="E432" s="311" t="s">
        <v>247</v>
      </c>
      <c r="F432" s="329"/>
      <c r="G432" s="325">
        <f>+G411+G202</f>
        <v>161.9</v>
      </c>
      <c r="H432" s="326"/>
      <c r="I432" s="311" t="s">
        <v>248</v>
      </c>
      <c r="J432" s="329"/>
      <c r="K432" s="293">
        <f>G432-C432</f>
        <v>-9.9999999999994316E-2</v>
      </c>
      <c r="L432" s="295"/>
      <c r="M432" s="330" t="s">
        <v>249</v>
      </c>
      <c r="N432" s="330"/>
      <c r="O432" s="321">
        <f t="array" ref="O432">IF(ISERROR(K432/C432),"",K432/C432)</f>
        <v>-6.1728395061724881E-4</v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3313.4</v>
      </c>
      <c r="D433" s="324"/>
      <c r="E433" s="311" t="s">
        <v>251</v>
      </c>
      <c r="F433" s="311"/>
      <c r="G433" s="325">
        <f>+G412+G203</f>
        <v>3677.4</v>
      </c>
      <c r="H433" s="326"/>
      <c r="I433" s="311" t="s">
        <v>252</v>
      </c>
      <c r="J433" s="311"/>
      <c r="K433" s="293">
        <f>G433-C433</f>
        <v>364</v>
      </c>
      <c r="L433" s="295"/>
      <c r="M433" s="327" t="s">
        <v>253</v>
      </c>
      <c r="N433" s="328"/>
      <c r="O433" s="321">
        <f t="array" ref="O433">IF(ISERROR(K433/C433),"",K433/C433)</f>
        <v>0.10985694452827911</v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4">SUM(D437:F437)-O437-P437-G437</f>
        <v>3</v>
      </c>
      <c r="D437" s="209">
        <v>3</v>
      </c>
      <c r="E437" s="150"/>
      <c r="F437" s="150"/>
      <c r="G437" s="150"/>
      <c r="H437" s="151"/>
      <c r="I437" s="151"/>
      <c r="J437" s="83">
        <f t="shared" ref="J437:J452" si="65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6">J437-K437-L437</f>
        <v>3</v>
      </c>
      <c r="R437" s="155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4"/>
        <v>5</v>
      </c>
      <c r="D438" s="209">
        <v>5</v>
      </c>
      <c r="E438" s="150"/>
      <c r="F438" s="150"/>
      <c r="G438" s="150"/>
      <c r="H438" s="151"/>
      <c r="I438" s="151"/>
      <c r="J438" s="83">
        <f t="shared" si="65"/>
        <v>5</v>
      </c>
      <c r="K438" s="67"/>
      <c r="L438" s="67"/>
      <c r="M438" s="67"/>
      <c r="N438" s="67"/>
      <c r="O438" s="67"/>
      <c r="P438" s="118"/>
      <c r="Q438" s="83">
        <f t="shared" si="66"/>
        <v>5</v>
      </c>
      <c r="R438" s="155">
        <f t="shared" ref="R438:R443" si="67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4"/>
        <v>3</v>
      </c>
      <c r="D439" s="209">
        <v>3</v>
      </c>
      <c r="E439" s="150"/>
      <c r="F439" s="150"/>
      <c r="G439" s="150"/>
      <c r="H439" s="151"/>
      <c r="I439" s="151"/>
      <c r="J439" s="83">
        <f t="shared" si="65"/>
        <v>3</v>
      </c>
      <c r="K439" s="67"/>
      <c r="L439" s="67"/>
      <c r="M439" s="67"/>
      <c r="N439" s="67"/>
      <c r="O439" s="67"/>
      <c r="P439" s="118"/>
      <c r="Q439" s="83">
        <f t="shared" si="66"/>
        <v>3</v>
      </c>
      <c r="R439" s="155">
        <f t="shared" si="67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4"/>
        <v>12</v>
      </c>
      <c r="D440" s="209">
        <v>11</v>
      </c>
      <c r="E440" s="150">
        <v>1</v>
      </c>
      <c r="F440" s="150"/>
      <c r="G440" s="150"/>
      <c r="H440" s="151"/>
      <c r="I440" s="151">
        <v>9</v>
      </c>
      <c r="J440" s="83">
        <f t="shared" si="65"/>
        <v>3</v>
      </c>
      <c r="K440" s="67"/>
      <c r="L440" s="67"/>
      <c r="M440" s="67"/>
      <c r="N440" s="67"/>
      <c r="O440" s="67"/>
      <c r="P440" s="118"/>
      <c r="Q440" s="83">
        <f t="shared" si="66"/>
        <v>3</v>
      </c>
      <c r="R440" s="155">
        <f t="shared" si="67"/>
        <v>33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4"/>
        <v>0</v>
      </c>
      <c r="D441" s="209">
        <v>0</v>
      </c>
      <c r="E441" s="150"/>
      <c r="F441" s="150"/>
      <c r="G441" s="150"/>
      <c r="H441" s="151"/>
      <c r="I441" s="151"/>
      <c r="J441" s="83">
        <f t="shared" si="65"/>
        <v>0</v>
      </c>
      <c r="K441" s="67"/>
      <c r="L441" s="67"/>
      <c r="M441" s="67"/>
      <c r="N441" s="67"/>
      <c r="O441" s="67"/>
      <c r="P441" s="118"/>
      <c r="Q441" s="83">
        <f t="shared" si="66"/>
        <v>0</v>
      </c>
      <c r="R441" s="155">
        <f t="shared" si="6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4"/>
        <v>2</v>
      </c>
      <c r="D442" s="209">
        <v>2</v>
      </c>
      <c r="E442" s="67"/>
      <c r="F442" s="67"/>
      <c r="G442" s="67"/>
      <c r="H442" s="67"/>
      <c r="I442" s="67"/>
      <c r="J442" s="83">
        <f t="shared" si="65"/>
        <v>2</v>
      </c>
      <c r="K442" s="67"/>
      <c r="L442" s="67"/>
      <c r="M442" s="67"/>
      <c r="N442" s="67"/>
      <c r="O442" s="67"/>
      <c r="P442" s="67"/>
      <c r="Q442" s="83">
        <f t="shared" si="66"/>
        <v>2</v>
      </c>
      <c r="R442" s="155">
        <f t="shared" si="67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8">SUM(D443:F443)-O443-P443-G443</f>
        <v>25</v>
      </c>
      <c r="D443" s="68">
        <f>SUM(D437:D442)</f>
        <v>24</v>
      </c>
      <c r="E443" s="68">
        <f t="shared" ref="E443:P443" si="69">SUM(E437:E442)</f>
        <v>1</v>
      </c>
      <c r="F443" s="68">
        <f t="shared" si="69"/>
        <v>0</v>
      </c>
      <c r="G443" s="68">
        <f t="shared" si="69"/>
        <v>0</v>
      </c>
      <c r="H443" s="68">
        <f t="shared" si="69"/>
        <v>0</v>
      </c>
      <c r="I443" s="68">
        <f t="shared" si="69"/>
        <v>9</v>
      </c>
      <c r="J443" s="84">
        <f t="shared" si="65"/>
        <v>16</v>
      </c>
      <c r="K443" s="68">
        <f t="shared" si="69"/>
        <v>0</v>
      </c>
      <c r="L443" s="68">
        <f t="shared" si="69"/>
        <v>0</v>
      </c>
      <c r="M443" s="68">
        <f t="shared" si="69"/>
        <v>0</v>
      </c>
      <c r="N443" s="68">
        <f t="shared" si="69"/>
        <v>0</v>
      </c>
      <c r="O443" s="68">
        <f t="shared" si="69"/>
        <v>0</v>
      </c>
      <c r="P443" s="68">
        <f t="shared" si="69"/>
        <v>0</v>
      </c>
      <c r="Q443" s="83">
        <f t="shared" si="66"/>
        <v>16</v>
      </c>
      <c r="R443" s="155">
        <f t="shared" si="67"/>
        <v>176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8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5"/>
        <v>3</v>
      </c>
      <c r="K444" s="67"/>
      <c r="L444" s="67"/>
      <c r="M444" s="67"/>
      <c r="N444" s="67"/>
      <c r="O444" s="67"/>
      <c r="P444" s="67"/>
      <c r="Q444" s="83">
        <f t="shared" si="66"/>
        <v>3</v>
      </c>
      <c r="R444" s="155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8"/>
        <v>2</v>
      </c>
      <c r="D445" s="209">
        <v>2</v>
      </c>
      <c r="E445" s="67"/>
      <c r="F445" s="67"/>
      <c r="G445" s="67"/>
      <c r="H445" s="67"/>
      <c r="I445" s="67"/>
      <c r="J445" s="83">
        <f t="shared" si="65"/>
        <v>2</v>
      </c>
      <c r="K445" s="67"/>
      <c r="L445" s="67"/>
      <c r="M445" s="67"/>
      <c r="N445" s="67"/>
      <c r="O445" s="67"/>
      <c r="P445" s="67"/>
      <c r="Q445" s="83">
        <f t="shared" si="66"/>
        <v>2</v>
      </c>
      <c r="R445" s="155">
        <f t="shared" ref="R445:R450" si="70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8"/>
        <v>3</v>
      </c>
      <c r="D446" s="209">
        <v>3</v>
      </c>
      <c r="E446" s="67"/>
      <c r="F446" s="67"/>
      <c r="G446" s="67"/>
      <c r="H446" s="67"/>
      <c r="I446" s="67"/>
      <c r="J446" s="83">
        <f t="shared" si="65"/>
        <v>3</v>
      </c>
      <c r="K446" s="67"/>
      <c r="L446" s="67"/>
      <c r="M446" s="67"/>
      <c r="N446" s="67"/>
      <c r="P446" s="67"/>
      <c r="Q446" s="83">
        <f t="shared" si="66"/>
        <v>3</v>
      </c>
      <c r="R446" s="155">
        <f t="shared" si="70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8"/>
        <v>15</v>
      </c>
      <c r="D447" s="209">
        <v>15</v>
      </c>
      <c r="E447" s="67"/>
      <c r="F447" s="67"/>
      <c r="G447" s="67"/>
      <c r="H447" s="67"/>
      <c r="I447" s="67">
        <v>10</v>
      </c>
      <c r="J447" s="83">
        <f t="shared" si="65"/>
        <v>5</v>
      </c>
      <c r="K447" s="67"/>
      <c r="L447" s="67"/>
      <c r="M447" s="67"/>
      <c r="N447" s="67"/>
      <c r="O447" s="67"/>
      <c r="P447" s="67"/>
      <c r="Q447" s="83">
        <f t="shared" si="66"/>
        <v>5</v>
      </c>
      <c r="R447" s="155">
        <f t="shared" si="70"/>
        <v>57.5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8"/>
        <v>1</v>
      </c>
      <c r="D448" s="209">
        <v>1</v>
      </c>
      <c r="E448" s="67"/>
      <c r="F448" s="67"/>
      <c r="G448" s="67"/>
      <c r="H448" s="67"/>
      <c r="I448" s="67"/>
      <c r="J448" s="83">
        <f t="shared" si="65"/>
        <v>1</v>
      </c>
      <c r="K448" s="67"/>
      <c r="L448" s="67"/>
      <c r="M448" s="110"/>
      <c r="N448" s="67"/>
      <c r="O448" s="67"/>
      <c r="P448" s="67"/>
      <c r="Q448" s="83">
        <f t="shared" si="66"/>
        <v>1</v>
      </c>
      <c r="R448" s="155">
        <f t="shared" si="70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8"/>
        <v>2</v>
      </c>
      <c r="D449" s="209">
        <v>2</v>
      </c>
      <c r="E449" s="67"/>
      <c r="F449" s="67"/>
      <c r="G449" s="67"/>
      <c r="H449" s="67"/>
      <c r="I449" s="67"/>
      <c r="J449" s="83">
        <f t="shared" si="65"/>
        <v>2</v>
      </c>
      <c r="K449" s="67"/>
      <c r="L449" s="67"/>
      <c r="M449" s="67"/>
      <c r="N449" s="67"/>
      <c r="O449" s="67"/>
      <c r="P449" s="67"/>
      <c r="Q449" s="83">
        <f t="shared" si="66"/>
        <v>2</v>
      </c>
      <c r="R449" s="155">
        <f t="shared" si="70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8"/>
        <v>27</v>
      </c>
      <c r="D450" s="69">
        <f t="shared" ref="D450" si="71">SUM(D444:D449)</f>
        <v>27</v>
      </c>
      <c r="E450" s="69">
        <f t="shared" ref="E450:I450" si="72">SUM(E444:E449)</f>
        <v>0</v>
      </c>
      <c r="F450" s="69">
        <f t="shared" si="72"/>
        <v>0</v>
      </c>
      <c r="G450" s="69">
        <f t="shared" si="72"/>
        <v>0</v>
      </c>
      <c r="H450" s="69">
        <f t="shared" si="72"/>
        <v>0</v>
      </c>
      <c r="I450" s="69">
        <f t="shared" si="72"/>
        <v>11</v>
      </c>
      <c r="J450" s="85">
        <f t="shared" si="65"/>
        <v>16</v>
      </c>
      <c r="K450" s="69">
        <f t="shared" ref="K450:P450" si="73">SUM(K444:K449)</f>
        <v>0</v>
      </c>
      <c r="L450" s="69">
        <f t="shared" si="73"/>
        <v>0</v>
      </c>
      <c r="M450" s="69">
        <f t="shared" si="73"/>
        <v>0</v>
      </c>
      <c r="N450" s="69">
        <f t="shared" si="73"/>
        <v>0</v>
      </c>
      <c r="O450" s="69">
        <f t="shared" si="73"/>
        <v>0</v>
      </c>
      <c r="P450" s="69">
        <f t="shared" si="73"/>
        <v>0</v>
      </c>
      <c r="Q450" s="83">
        <f t="shared" si="66"/>
        <v>16</v>
      </c>
      <c r="R450" s="155">
        <f t="shared" si="70"/>
        <v>184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8"/>
        <v>2</v>
      </c>
      <c r="D451" s="219">
        <v>2</v>
      </c>
      <c r="E451" s="150"/>
      <c r="F451" s="150"/>
      <c r="G451" s="150"/>
      <c r="H451" s="151"/>
      <c r="I451" s="83"/>
      <c r="J451" s="83">
        <f t="shared" si="65"/>
        <v>2</v>
      </c>
      <c r="K451" s="151"/>
      <c r="L451" s="151"/>
      <c r="M451" s="151"/>
      <c r="N451" s="151"/>
      <c r="O451" s="151"/>
      <c r="P451" s="166"/>
      <c r="Q451" s="83">
        <f t="shared" si="66"/>
        <v>2</v>
      </c>
      <c r="R451" s="155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8"/>
        <v>54</v>
      </c>
      <c r="D452" s="69">
        <f>+D451+D450+D443</f>
        <v>53</v>
      </c>
      <c r="E452" s="69">
        <f>+E443+E450+E451</f>
        <v>1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20</v>
      </c>
      <c r="J452" s="85">
        <f t="shared" si="65"/>
        <v>34</v>
      </c>
      <c r="K452" s="69">
        <f t="shared" ref="K452:P452" si="74">+K443+K450+K451</f>
        <v>0</v>
      </c>
      <c r="L452" s="69">
        <f t="shared" si="74"/>
        <v>0</v>
      </c>
      <c r="M452" s="69">
        <f t="shared" si="74"/>
        <v>0</v>
      </c>
      <c r="N452" s="69">
        <f t="shared" si="74"/>
        <v>0</v>
      </c>
      <c r="O452" s="69">
        <f t="shared" si="74"/>
        <v>0</v>
      </c>
      <c r="P452" s="69">
        <f t="shared" si="74"/>
        <v>0</v>
      </c>
      <c r="Q452" s="83">
        <f t="shared" si="66"/>
        <v>34</v>
      </c>
      <c r="R452" s="67">
        <f>R443+R450+R451</f>
        <v>382</v>
      </c>
      <c r="S452" s="123">
        <f t="array" ref="S452">IF(ISERROR(Q452/J452),"",Q452/J452)</f>
        <v>1</v>
      </c>
      <c r="T452" s="16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1"/>
  <dimension ref="A1:AC454"/>
  <sheetViews>
    <sheetView tabSelected="1" workbookViewId="0">
      <pane xSplit="5" ySplit="5" topLeftCell="F211" activePane="bottomRight" state="frozen"/>
      <selection pane="topRight" activeCell="F1" sqref="F1"/>
      <selection pane="bottomLeft" activeCell="A6" sqref="A6"/>
      <selection pane="bottomRight" activeCell="D436" sqref="D436:D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hidden="1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hidden="1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hidden="1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hidden="1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hidden="1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hidden="1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hidden="1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hidden="1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hidden="1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hidden="1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hidden="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>
        <v>4503</v>
      </c>
      <c r="C54" s="226" t="s">
        <v>75</v>
      </c>
      <c r="D54" s="226" t="s">
        <v>76</v>
      </c>
      <c r="E54" s="163" t="s">
        <v>40</v>
      </c>
      <c r="F54" s="13"/>
      <c r="G54" s="208">
        <v>5</v>
      </c>
      <c r="H54" s="208"/>
      <c r="I54" s="208">
        <v>5</v>
      </c>
      <c r="J54" s="208"/>
      <c r="K54" s="161">
        <f t="shared" si="0"/>
        <v>2729.5</v>
      </c>
      <c r="L54" s="161">
        <f t="shared" si="1"/>
        <v>2729.5</v>
      </c>
      <c r="M54" s="161">
        <v>545.9</v>
      </c>
      <c r="N54" s="161">
        <f>+M54*1000/(41.5*10*16*60)*T54</f>
        <v>2.7404618473895583</v>
      </c>
      <c r="O54" s="161">
        <v>0.5</v>
      </c>
      <c r="P54" s="161">
        <f t="shared" si="2"/>
        <v>14.702309236947791</v>
      </c>
      <c r="Q54" s="161">
        <v>7</v>
      </c>
      <c r="R54" s="19">
        <f t="shared" si="3"/>
        <v>14</v>
      </c>
      <c r="S54" s="161">
        <f t="shared" si="4"/>
        <v>-0.70230923694779079</v>
      </c>
      <c r="T54" s="22">
        <v>2</v>
      </c>
      <c r="U54" s="20">
        <v>2</v>
      </c>
      <c r="V54" s="158">
        <f t="array" ref="V54">IF(ISERROR(L54/K54),"",L54/K54)</f>
        <v>1</v>
      </c>
      <c r="W54" s="20"/>
      <c r="X54" s="20"/>
      <c r="Y54" s="20"/>
      <c r="Z54" s="20"/>
      <c r="AA54" s="20">
        <v>1</v>
      </c>
      <c r="AB54" s="20"/>
      <c r="AC54" s="20"/>
    </row>
    <row r="55" spans="1:29" ht="21.95" customHeight="1">
      <c r="A55" s="157">
        <v>300052</v>
      </c>
      <c r="B55" s="150">
        <v>4503</v>
      </c>
      <c r="C55" s="226" t="s">
        <v>75</v>
      </c>
      <c r="D55" s="226" t="s">
        <v>76</v>
      </c>
      <c r="E55" s="163" t="s">
        <v>39</v>
      </c>
      <c r="F55" s="13"/>
      <c r="G55" s="208">
        <v>2</v>
      </c>
      <c r="H55" s="208"/>
      <c r="I55" s="208">
        <f>2-(100/500)</f>
        <v>1.8</v>
      </c>
      <c r="J55" s="110">
        <v>100</v>
      </c>
      <c r="K55" s="161">
        <f t="shared" si="0"/>
        <v>1091.8</v>
      </c>
      <c r="L55" s="161">
        <f t="shared" si="1"/>
        <v>982.62</v>
      </c>
      <c r="M55" s="161">
        <v>545.9</v>
      </c>
      <c r="N55" s="161">
        <f>+M55*1000/(41.5*10*16*60)*T55</f>
        <v>2.7404618473895583</v>
      </c>
      <c r="O55" s="161">
        <v>0.5</v>
      </c>
      <c r="P55" s="161">
        <f t="shared" si="2"/>
        <v>5.9328313253012048</v>
      </c>
      <c r="Q55" s="161">
        <v>2</v>
      </c>
      <c r="R55" s="19">
        <f t="shared" si="3"/>
        <v>4</v>
      </c>
      <c r="S55" s="161">
        <f t="shared" si="4"/>
        <v>-1.9328313253012048</v>
      </c>
      <c r="T55" s="20">
        <v>2</v>
      </c>
      <c r="U55" s="20">
        <v>2</v>
      </c>
      <c r="V55" s="158">
        <f t="array" ref="V55">IF(ISERROR(L55/K55),"",L55/K55)</f>
        <v>0.9</v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208"/>
      <c r="H56" s="208"/>
      <c r="I56" s="208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212"/>
      <c r="H57" s="212"/>
      <c r="I57" s="212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208"/>
      <c r="H58" s="208"/>
      <c r="I58" s="208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208"/>
      <c r="H59" s="208"/>
      <c r="I59" s="208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208"/>
      <c r="H60" s="208"/>
      <c r="I60" s="208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208"/>
      <c r="H61" s="208"/>
      <c r="I61" s="208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208"/>
      <c r="H62" s="208"/>
      <c r="I62" s="208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>
        <v>4503</v>
      </c>
      <c r="C63" s="226" t="s">
        <v>81</v>
      </c>
      <c r="D63" s="226" t="s">
        <v>82</v>
      </c>
      <c r="E63" s="163" t="s">
        <v>54</v>
      </c>
      <c r="F63" s="13"/>
      <c r="G63" s="208">
        <f>+H63</f>
        <v>0.8</v>
      </c>
      <c r="H63" s="208">
        <f>+I63</f>
        <v>0.8</v>
      </c>
      <c r="I63" s="208">
        <f>400/500</f>
        <v>0.8</v>
      </c>
      <c r="J63" s="110"/>
      <c r="K63" s="161">
        <f t="shared" si="0"/>
        <v>471.28000000000003</v>
      </c>
      <c r="L63" s="161">
        <f t="shared" si="1"/>
        <v>471.28000000000003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2.7013642095609307</v>
      </c>
      <c r="Q63" s="161">
        <v>1</v>
      </c>
      <c r="R63" s="19">
        <f t="shared" si="3"/>
        <v>2</v>
      </c>
      <c r="S63" s="161">
        <f t="shared" si="4"/>
        <v>-0.70136420956093071</v>
      </c>
      <c r="T63" s="20">
        <v>3</v>
      </c>
      <c r="U63" s="20">
        <v>2</v>
      </c>
      <c r="V63" s="158">
        <f t="array" ref="V63">IF(ISERROR(L63/K63),"",L63/K63)</f>
        <v>1</v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208"/>
      <c r="H64" s="208"/>
      <c r="I64" s="208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208"/>
      <c r="H65" s="208"/>
      <c r="I65" s="208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208"/>
      <c r="H66" s="208"/>
      <c r="I66" s="208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208"/>
      <c r="H67" s="208"/>
      <c r="I67" s="208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208"/>
      <c r="H68" s="208"/>
      <c r="I68" s="208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208"/>
      <c r="H69" s="208"/>
      <c r="I69" s="208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208"/>
      <c r="H70" s="208"/>
      <c r="I70" s="208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208"/>
      <c r="H71" s="208"/>
      <c r="I71" s="208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208"/>
      <c r="H72" s="208"/>
      <c r="I72" s="208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208"/>
      <c r="H73" s="208"/>
      <c r="I73" s="208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213"/>
      <c r="H74" s="213"/>
      <c r="I74" s="213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208"/>
      <c r="H75" s="208"/>
      <c r="I75" s="208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208"/>
      <c r="H76" s="208"/>
      <c r="I76" s="208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208"/>
      <c r="H77" s="208"/>
      <c r="I77" s="208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208"/>
      <c r="H78" s="208"/>
      <c r="I78" s="208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208"/>
      <c r="H79" s="208"/>
      <c r="I79" s="208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208"/>
      <c r="H80" s="208"/>
      <c r="I80" s="208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208"/>
      <c r="H81" s="208"/>
      <c r="I81" s="208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208"/>
      <c r="H82" s="208"/>
      <c r="I82" s="208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212"/>
      <c r="H83" s="212"/>
      <c r="I83" s="212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208"/>
      <c r="H84" s="208"/>
      <c r="I84" s="208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208"/>
      <c r="H85" s="208"/>
      <c r="I85" s="208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208"/>
      <c r="H86" s="208"/>
      <c r="I86" s="208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208"/>
      <c r="H87" s="208"/>
      <c r="I87" s="208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208"/>
      <c r="H88" s="208"/>
      <c r="I88" s="208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208"/>
      <c r="H89" s="208"/>
      <c r="I89" s="208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208"/>
      <c r="H90" s="208"/>
      <c r="I90" s="208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208"/>
      <c r="H91" s="208"/>
      <c r="I91" s="208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208"/>
      <c r="H92" s="208"/>
      <c r="I92" s="208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208"/>
      <c r="H93" s="208"/>
      <c r="I93" s="208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208"/>
      <c r="H94" s="208"/>
      <c r="I94" s="208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208"/>
      <c r="H95" s="208"/>
      <c r="I95" s="208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208"/>
      <c r="H96" s="208"/>
      <c r="I96" s="208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213"/>
      <c r="H97" s="213"/>
      <c r="I97" s="213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208"/>
      <c r="H98" s="208"/>
      <c r="I98" s="208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208"/>
      <c r="H99" s="208"/>
      <c r="I99" s="208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208"/>
      <c r="H100" s="208"/>
      <c r="I100" s="208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208"/>
      <c r="H101" s="208"/>
      <c r="I101" s="208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208"/>
      <c r="H102" s="208"/>
      <c r="I102" s="208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208"/>
      <c r="H103" s="208"/>
      <c r="I103" s="208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208"/>
      <c r="H104" s="208"/>
      <c r="I104" s="208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208"/>
      <c r="H105" s="208"/>
      <c r="I105" s="208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213"/>
      <c r="H106" s="213"/>
      <c r="I106" s="213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213"/>
      <c r="H107" s="213"/>
      <c r="I107" s="213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213"/>
      <c r="H108" s="213"/>
      <c r="I108" s="213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213"/>
      <c r="H109" s="213"/>
      <c r="I109" s="213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213"/>
      <c r="H110" s="213"/>
      <c r="I110" s="213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208"/>
      <c r="H111" s="208"/>
      <c r="I111" s="208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208"/>
      <c r="H112" s="208"/>
      <c r="I112" s="208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208"/>
      <c r="H113" s="208"/>
      <c r="I113" s="208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208"/>
      <c r="H114" s="208"/>
      <c r="I114" s="208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208"/>
      <c r="H115" s="208"/>
      <c r="I115" s="208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208"/>
      <c r="H116" s="208"/>
      <c r="I116" s="208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208"/>
      <c r="H117" s="208"/>
      <c r="I117" s="208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208"/>
      <c r="H118" s="208"/>
      <c r="I118" s="208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208"/>
      <c r="H119" s="208"/>
      <c r="I119" s="208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208"/>
      <c r="H120" s="208"/>
      <c r="I120" s="208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133"/>
      <c r="H121" s="133"/>
      <c r="I121" s="133"/>
      <c r="J121" s="342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133"/>
      <c r="H122" s="133"/>
      <c r="I122" s="133"/>
      <c r="J122" s="342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133"/>
      <c r="H123" s="133"/>
      <c r="I123" s="133"/>
      <c r="J123" s="342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133"/>
      <c r="H124" s="133"/>
      <c r="I124" s="133"/>
      <c r="J124" s="342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133"/>
      <c r="H125" s="133"/>
      <c r="I125" s="133"/>
      <c r="J125" s="342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208"/>
      <c r="H126" s="208"/>
      <c r="I126" s="208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208"/>
      <c r="H127" s="208"/>
      <c r="I127" s="208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208"/>
      <c r="H128" s="208"/>
      <c r="I128" s="208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208"/>
      <c r="H129" s="208"/>
      <c r="I129" s="208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208"/>
      <c r="H130" s="208"/>
      <c r="I130" s="208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208"/>
      <c r="H131" s="208"/>
      <c r="I131" s="208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208"/>
      <c r="H132" s="208"/>
      <c r="I132" s="208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208"/>
      <c r="H133" s="208"/>
      <c r="I133" s="208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208"/>
      <c r="H134" s="208"/>
      <c r="I134" s="208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208"/>
      <c r="H135" s="208"/>
      <c r="I135" s="208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208"/>
      <c r="H136" s="208"/>
      <c r="I136" s="208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208"/>
      <c r="H137" s="208"/>
      <c r="I137" s="208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208"/>
      <c r="H138" s="208"/>
      <c r="I138" s="208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208"/>
      <c r="H139" s="208"/>
      <c r="I139" s="208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208"/>
      <c r="H140" s="208"/>
      <c r="I140" s="208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208"/>
      <c r="H141" s="208"/>
      <c r="I141" s="208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208"/>
      <c r="H142" s="208"/>
      <c r="I142" s="208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208"/>
      <c r="H143" s="208"/>
      <c r="I143" s="208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208"/>
      <c r="H144" s="208"/>
      <c r="I144" s="208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208"/>
      <c r="H145" s="208"/>
      <c r="I145" s="208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208"/>
      <c r="H146" s="208"/>
      <c r="I146" s="208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208"/>
      <c r="H147" s="208"/>
      <c r="I147" s="208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208"/>
      <c r="H148" s="208"/>
      <c r="I148" s="208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208"/>
      <c r="H149" s="208"/>
      <c r="I149" s="208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208"/>
      <c r="H150" s="208"/>
      <c r="I150" s="208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208"/>
      <c r="H151" s="208"/>
      <c r="I151" s="208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208"/>
      <c r="H152" s="208"/>
      <c r="I152" s="208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208"/>
      <c r="H153" s="208"/>
      <c r="I153" s="208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208"/>
      <c r="H154" s="208"/>
      <c r="I154" s="208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208"/>
      <c r="H155" s="208"/>
      <c r="I155" s="208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208"/>
      <c r="H156" s="208"/>
      <c r="I156" s="208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208"/>
      <c r="H157" s="208"/>
      <c r="I157" s="208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208"/>
      <c r="H158" s="208"/>
      <c r="I158" s="208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208"/>
      <c r="H159" s="208"/>
      <c r="I159" s="208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208"/>
      <c r="H160" s="208"/>
      <c r="I160" s="208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208"/>
      <c r="H161" s="208"/>
      <c r="I161" s="208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208"/>
      <c r="H162" s="208"/>
      <c r="I162" s="208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208"/>
      <c r="H163" s="208"/>
      <c r="I163" s="208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208"/>
      <c r="H164" s="208"/>
      <c r="I164" s="208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208"/>
      <c r="H165" s="208"/>
      <c r="I165" s="208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208"/>
      <c r="H166" s="208"/>
      <c r="I166" s="208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208"/>
      <c r="H167" s="208"/>
      <c r="I167" s="208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208"/>
      <c r="H168" s="208"/>
      <c r="I168" s="208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18502</v>
      </c>
      <c r="C169" s="226" t="s">
        <v>157</v>
      </c>
      <c r="D169" s="226" t="s">
        <v>158</v>
      </c>
      <c r="E169" s="163" t="s">
        <v>135</v>
      </c>
      <c r="F169" s="27"/>
      <c r="G169" s="208">
        <v>4</v>
      </c>
      <c r="H169" s="208"/>
      <c r="I169" s="208">
        <f>4-(50/400)</f>
        <v>3.875</v>
      </c>
      <c r="J169" s="110">
        <v>50</v>
      </c>
      <c r="K169" s="161">
        <f t="shared" si="15"/>
        <v>2083.1999999999998</v>
      </c>
      <c r="L169" s="161">
        <f t="shared" si="16"/>
        <v>2018.1</v>
      </c>
      <c r="M169" s="15">
        <v>520.79999999999995</v>
      </c>
      <c r="N169" s="161">
        <f>+M169*1000/(188*4*13*60)*T169</f>
        <v>5.3273322422258591</v>
      </c>
      <c r="O169" s="161">
        <v>0.5</v>
      </c>
      <c r="P169" s="161">
        <f t="shared" si="17"/>
        <v>24.143412438625205</v>
      </c>
      <c r="Q169" s="161">
        <v>3</v>
      </c>
      <c r="R169" s="19">
        <f t="shared" si="18"/>
        <v>21</v>
      </c>
      <c r="S169" s="161">
        <f t="shared" si="19"/>
        <v>-3.1434124386252051</v>
      </c>
      <c r="T169" s="20">
        <v>6</v>
      </c>
      <c r="U169" s="20">
        <v>7</v>
      </c>
      <c r="V169" s="158">
        <f t="array" ref="V169">IF(ISERROR(L169/K169),"",L169/K169)</f>
        <v>0.96875</v>
      </c>
      <c r="W169" s="20"/>
      <c r="X169" s="20"/>
      <c r="Y169" s="20"/>
      <c r="Z169" s="20"/>
      <c r="AA169" s="20">
        <v>3</v>
      </c>
      <c r="AB169" s="20"/>
      <c r="AC169" s="20"/>
    </row>
    <row r="170" spans="1:29" s="2" customFormat="1" ht="21.95" customHeight="1">
      <c r="A170" s="157">
        <v>300010</v>
      </c>
      <c r="B170" s="150">
        <v>18502</v>
      </c>
      <c r="C170" s="226" t="s">
        <v>157</v>
      </c>
      <c r="D170" s="226" t="s">
        <v>158</v>
      </c>
      <c r="E170" s="163" t="s">
        <v>80</v>
      </c>
      <c r="F170" s="27"/>
      <c r="G170" s="208">
        <v>4</v>
      </c>
      <c r="H170" s="208"/>
      <c r="I170" s="208">
        <v>4</v>
      </c>
      <c r="J170" s="341"/>
      <c r="K170" s="161">
        <f t="shared" si="15"/>
        <v>2123.6</v>
      </c>
      <c r="L170" s="161">
        <f t="shared" si="16"/>
        <v>2123.6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18.102154937261322</v>
      </c>
      <c r="Q170" s="161">
        <v>5</v>
      </c>
      <c r="R170" s="19">
        <f t="shared" si="18"/>
        <v>35</v>
      </c>
      <c r="S170" s="161">
        <f t="shared" si="19"/>
        <v>16.897845062738678</v>
      </c>
      <c r="T170" s="20">
        <v>5</v>
      </c>
      <c r="U170" s="20">
        <v>7</v>
      </c>
      <c r="V170" s="158">
        <f t="array" ref="V170">IF(ISERROR(L170/K170),"",L170/K170)</f>
        <v>1</v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15.8</v>
      </c>
      <c r="H199" s="161">
        <f t="array" ref="H199">SUM(IF(ISERROR(H6:H198),“”,H6:H198))</f>
        <v>0.8</v>
      </c>
      <c r="I199" s="161">
        <f t="array" ref="I199">SUM(IF(ISERROR(I6:I198),“”,I6:I198))</f>
        <v>15.475</v>
      </c>
      <c r="J199" s="161">
        <f t="array" ref="J199">SUM(IF(ISERROR(J6:J198),“”,J6:J198))</f>
        <v>150</v>
      </c>
      <c r="K199" s="161">
        <f t="array" ref="K199">SUM(IF(ISERROR(K6:K198),“”,K6:K198))</f>
        <v>8499.3799999999992</v>
      </c>
      <c r="L199" s="56">
        <f>SUM(L6:L198)</f>
        <v>8325.1</v>
      </c>
      <c r="M199" s="161"/>
      <c r="N199" s="161"/>
      <c r="O199" s="161">
        <f>SUM(O6:O190)</f>
        <v>1.5</v>
      </c>
      <c r="P199" s="56">
        <f>SUM((P6:P190),(W204:X209))</f>
        <v>164.58207214769646</v>
      </c>
      <c r="Q199" s="161"/>
      <c r="R199" s="56">
        <f>SUM((R6:R190),(Y204:Z209))</f>
        <v>175</v>
      </c>
      <c r="S199" s="161">
        <f t="array" ref="S199">SUM(IF(ISERROR(S6:S198),“”,S6:S198))</f>
        <v>10.417927852303547</v>
      </c>
      <c r="T199" s="161"/>
      <c r="U199" s="161"/>
      <c r="V199" s="158">
        <f>IF(ISERROR(L199/K199),"",L199/K199)</f>
        <v>0.97949497492758308</v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4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>
        <f>IF(ISERROR(P199/R199),"",P199/R199)</f>
        <v>0.94046898370112264</v>
      </c>
      <c r="P200" s="252"/>
      <c r="Q200" s="252"/>
      <c r="R200" s="253"/>
      <c r="S200" s="44"/>
      <c r="T200" s="45"/>
      <c r="U200" s="45"/>
      <c r="V200" s="45"/>
      <c r="W200" s="254">
        <f>SUM(W199:AC199)</f>
        <v>4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>
        <v>99</v>
      </c>
      <c r="F202" s="257"/>
      <c r="G202" s="257">
        <v>99</v>
      </c>
      <c r="H202" s="257"/>
      <c r="I202" s="257">
        <f>G202-E202</f>
        <v>0</v>
      </c>
      <c r="J202" s="257"/>
      <c r="K202" s="259">
        <f t="array" ref="K202">IF(ISERROR(I202/E202),"",I202/E202)</f>
        <v>0</v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>
        <v>1292.2</v>
      </c>
      <c r="F203" s="257"/>
      <c r="G203" s="257">
        <v>1392.2</v>
      </c>
      <c r="H203" s="257"/>
      <c r="I203" s="257">
        <f>G203-E203</f>
        <v>100</v>
      </c>
      <c r="J203" s="257"/>
      <c r="K203" s="259">
        <f t="array" ref="K203">IF(ISERROR(I203/E203),"",I203/E203)</f>
        <v>7.7387401331063296E-2</v>
      </c>
      <c r="L203" s="259"/>
      <c r="M203" s="244"/>
      <c r="N203" s="245"/>
      <c r="O203" s="260"/>
      <c r="P203" s="260"/>
      <c r="Q203" s="261" t="s">
        <v>193</v>
      </c>
      <c r="R203" s="261"/>
      <c r="S203" s="262">
        <v>8</v>
      </c>
      <c r="T203" s="262"/>
      <c r="U203" s="262">
        <f>2+7</f>
        <v>9</v>
      </c>
      <c r="V203" s="262"/>
      <c r="W203" s="261">
        <f t="shared" ref="W203:W210" si="28">S203*11</f>
        <v>88</v>
      </c>
      <c r="X203" s="261"/>
      <c r="Y203" s="261">
        <f t="shared" ref="Y203:Y210" si="29">U203*11</f>
        <v>99</v>
      </c>
      <c r="Z203" s="261"/>
      <c r="AA203" s="261">
        <f t="shared" ref="AA203:AA210" si="30">Y203-W203</f>
        <v>11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>
        <v>441</v>
      </c>
      <c r="F204" s="257"/>
      <c r="G204" s="257">
        <v>486</v>
      </c>
      <c r="H204" s="257"/>
      <c r="I204" s="257">
        <f>G204-E204</f>
        <v>45</v>
      </c>
      <c r="J204" s="257"/>
      <c r="K204" s="259">
        <f t="array" ref="K204">IF(ISERROR(I204/E204),"",I204/E204)</f>
        <v>0.10204081632653061</v>
      </c>
      <c r="L204" s="259"/>
      <c r="M204" s="244"/>
      <c r="N204" s="245"/>
      <c r="O204" s="260"/>
      <c r="P204" s="260"/>
      <c r="Q204" s="261" t="s">
        <v>195</v>
      </c>
      <c r="R204" s="261"/>
      <c r="S204" s="262">
        <v>2</v>
      </c>
      <c r="T204" s="262"/>
      <c r="U204" s="262">
        <v>3</v>
      </c>
      <c r="V204" s="262"/>
      <c r="W204" s="261">
        <f t="shared" si="28"/>
        <v>22</v>
      </c>
      <c r="X204" s="261"/>
      <c r="Y204" s="261">
        <f t="shared" si="29"/>
        <v>33</v>
      </c>
      <c r="Z204" s="261"/>
      <c r="AA204" s="261">
        <f t="shared" si="30"/>
        <v>11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336">
        <v>0.75</v>
      </c>
      <c r="T205" s="337"/>
      <c r="U205" s="262">
        <v>1</v>
      </c>
      <c r="V205" s="262"/>
      <c r="W205" s="261">
        <f t="shared" si="28"/>
        <v>8.25</v>
      </c>
      <c r="X205" s="261"/>
      <c r="Y205" s="261">
        <f t="shared" si="29"/>
        <v>11</v>
      </c>
      <c r="Z205" s="261"/>
      <c r="AA205" s="261">
        <f t="shared" si="30"/>
        <v>2.75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>
        <v>147839</v>
      </c>
      <c r="H206" s="264"/>
      <c r="I206" s="302">
        <v>147786</v>
      </c>
      <c r="J206" s="302"/>
      <c r="K206" s="267">
        <f>G206-I206</f>
        <v>53</v>
      </c>
      <c r="L206" s="267"/>
      <c r="M206" s="268">
        <f t="array" ref="M206">IF(ISERROR(K206/L199),"",K206/(L199/1000))</f>
        <v>6.366289894415682</v>
      </c>
      <c r="N206" s="268"/>
      <c r="O206" s="260"/>
      <c r="P206" s="260"/>
      <c r="Q206" s="261" t="s">
        <v>205</v>
      </c>
      <c r="R206" s="261"/>
      <c r="S206" s="336">
        <v>0.75</v>
      </c>
      <c r="T206" s="337"/>
      <c r="U206" s="262">
        <v>1</v>
      </c>
      <c r="V206" s="262"/>
      <c r="W206" s="261">
        <f t="shared" si="28"/>
        <v>8.25</v>
      </c>
      <c r="X206" s="261"/>
      <c r="Y206" s="261">
        <f t="shared" si="29"/>
        <v>11</v>
      </c>
      <c r="Z206" s="261"/>
      <c r="AA206" s="261">
        <f t="shared" si="30"/>
        <v>2.75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>
        <f>28416.9*120+44614*60</f>
        <v>6086868</v>
      </c>
      <c r="H207" s="264"/>
      <c r="I207" s="300">
        <f>28411.7*120+44607.6*60</f>
        <v>6085860</v>
      </c>
      <c r="J207" s="301"/>
      <c r="K207" s="267">
        <f>G207-I207</f>
        <v>1008</v>
      </c>
      <c r="L207" s="267"/>
      <c r="M207" s="268">
        <f t="array" ref="M207">IF(ISERROR(K207/L199),"",K207/(L199/1000))</f>
        <v>121.07962667115109</v>
      </c>
      <c r="N207" s="268"/>
      <c r="O207" s="260"/>
      <c r="P207" s="260"/>
      <c r="Q207" s="261" t="s">
        <v>208</v>
      </c>
      <c r="R207" s="261"/>
      <c r="S207" s="336">
        <v>1.5</v>
      </c>
      <c r="T207" s="337"/>
      <c r="U207" s="262">
        <v>1</v>
      </c>
      <c r="V207" s="262"/>
      <c r="W207" s="261">
        <f t="shared" si="28"/>
        <v>16.5</v>
      </c>
      <c r="X207" s="261"/>
      <c r="Y207" s="261">
        <f t="shared" si="29"/>
        <v>11</v>
      </c>
      <c r="Z207" s="261"/>
      <c r="AA207" s="261">
        <f t="shared" si="30"/>
        <v>-5.5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>
        <f t="array" ref="M208">IF(ISERROR(K208/L199),"",K208/(L199/1000))</f>
        <v>0</v>
      </c>
      <c r="N208" s="271"/>
      <c r="O208" s="260"/>
      <c r="P208" s="260"/>
      <c r="Q208" s="261" t="s">
        <v>211</v>
      </c>
      <c r="R208" s="261"/>
      <c r="S208" s="336">
        <v>1</v>
      </c>
      <c r="T208" s="337"/>
      <c r="U208" s="262">
        <v>0</v>
      </c>
      <c r="V208" s="262"/>
      <c r="W208" s="261">
        <f t="shared" si="28"/>
        <v>11</v>
      </c>
      <c r="X208" s="261"/>
      <c r="Y208" s="261">
        <f t="shared" si="29"/>
        <v>0</v>
      </c>
      <c r="Z208" s="261"/>
      <c r="AA208" s="261">
        <f t="shared" si="30"/>
        <v>-11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 t="s">
        <v>322</v>
      </c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336">
        <v>3</v>
      </c>
      <c r="T209" s="337"/>
      <c r="U209" s="262">
        <v>3</v>
      </c>
      <c r="V209" s="262"/>
      <c r="W209" s="261">
        <f t="shared" si="28"/>
        <v>33</v>
      </c>
      <c r="X209" s="261"/>
      <c r="Y209" s="261">
        <f t="shared" si="29"/>
        <v>33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17</v>
      </c>
      <c r="T210" s="262"/>
      <c r="U210" s="262">
        <f>SUM(U203:V209)</f>
        <v>18</v>
      </c>
      <c r="V210" s="262"/>
      <c r="W210" s="261">
        <f t="shared" si="28"/>
        <v>187</v>
      </c>
      <c r="X210" s="261"/>
      <c r="Y210" s="261">
        <f t="shared" si="29"/>
        <v>198</v>
      </c>
      <c r="Z210" s="261"/>
      <c r="AA210" s="261">
        <f t="shared" si="30"/>
        <v>11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>
        <f t="array" ref="S211">IF(ISERROR(L199/Y210),"",L199/Y210)</f>
        <v>42.045959595959594</v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hidden="1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hidden="1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hidden="1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hidden="1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hidden="1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hidden="1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hidden="1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hidden="1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hidden="1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hidden="1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hidden="1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10"/>
      <c r="H263" s="110"/>
      <c r="I263" s="110"/>
      <c r="J263" s="110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>
        <v>4503</v>
      </c>
      <c r="C264" s="226" t="s">
        <v>75</v>
      </c>
      <c r="D264" s="226" t="s">
        <v>76</v>
      </c>
      <c r="E264" s="163" t="s">
        <v>39</v>
      </c>
      <c r="F264" s="162"/>
      <c r="G264" s="208">
        <f>+I264</f>
        <v>2.2000000000000002</v>
      </c>
      <c r="H264" s="208">
        <f>100/500</f>
        <v>0.2</v>
      </c>
      <c r="I264" s="208">
        <f>2+H264</f>
        <v>2.2000000000000002</v>
      </c>
      <c r="J264" s="110"/>
      <c r="K264" s="161">
        <f t="shared" si="31"/>
        <v>1200.98</v>
      </c>
      <c r="L264" s="161">
        <f t="shared" si="32"/>
        <v>1200.98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6.0290160642570285</v>
      </c>
      <c r="Q264" s="161">
        <v>4</v>
      </c>
      <c r="R264" s="19">
        <f t="shared" si="35"/>
        <v>8</v>
      </c>
      <c r="S264" s="161">
        <f t="shared" si="36"/>
        <v>1.9709839357429715</v>
      </c>
      <c r="T264" s="20">
        <v>2</v>
      </c>
      <c r="U264" s="20">
        <v>2</v>
      </c>
      <c r="V264" s="158">
        <f t="array" ref="V264">IF(ISERROR(L264/K264),"",L264/K264)</f>
        <v>1</v>
      </c>
      <c r="W264" s="20"/>
      <c r="X264" s="20"/>
      <c r="Y264" s="20"/>
      <c r="Z264" s="20"/>
      <c r="AA264" s="20">
        <v>1</v>
      </c>
      <c r="AB264" s="20"/>
      <c r="AC264" s="20"/>
    </row>
    <row r="265" spans="1:29" s="2" customFormat="1" ht="21.95" customHeight="1">
      <c r="A265" s="157">
        <v>300054</v>
      </c>
      <c r="B265" s="150">
        <v>4503</v>
      </c>
      <c r="C265" s="226" t="s">
        <v>75</v>
      </c>
      <c r="D265" s="226" t="s">
        <v>76</v>
      </c>
      <c r="E265" s="163" t="s">
        <v>38</v>
      </c>
      <c r="F265" s="162"/>
      <c r="G265" s="208">
        <v>4</v>
      </c>
      <c r="H265" s="208"/>
      <c r="I265" s="208">
        <v>4</v>
      </c>
      <c r="J265" s="110"/>
      <c r="K265" s="161">
        <f t="shared" si="31"/>
        <v>2183.6</v>
      </c>
      <c r="L265" s="161">
        <f t="shared" si="32"/>
        <v>2183.6</v>
      </c>
      <c r="M265" s="161">
        <v>545.9</v>
      </c>
      <c r="N265" s="161">
        <f>+M265*1000/(41.5*10*16*60)*T265</f>
        <v>2.7404618473895583</v>
      </c>
      <c r="O265" s="161">
        <v>0.5</v>
      </c>
      <c r="P265" s="161">
        <f t="shared" si="34"/>
        <v>11.961847389558233</v>
      </c>
      <c r="Q265" s="161">
        <v>4.5</v>
      </c>
      <c r="R265" s="19">
        <f t="shared" si="35"/>
        <v>9</v>
      </c>
      <c r="S265" s="161">
        <f t="shared" si="36"/>
        <v>-2.9618473895582333</v>
      </c>
      <c r="T265" s="20">
        <v>2</v>
      </c>
      <c r="U265" s="20">
        <v>2</v>
      </c>
      <c r="V265" s="158">
        <f t="array" ref="V265">IF(ISERROR(L265/K265),"",L265/K265)</f>
        <v>1</v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212"/>
      <c r="H266" s="212"/>
      <c r="I266" s="212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>
        <v>4503</v>
      </c>
      <c r="C267" s="226" t="s">
        <v>77</v>
      </c>
      <c r="D267" s="226" t="s">
        <v>78</v>
      </c>
      <c r="E267" s="163" t="s">
        <v>79</v>
      </c>
      <c r="F267" s="162"/>
      <c r="G267" s="208">
        <v>2</v>
      </c>
      <c r="H267" s="208"/>
      <c r="I267" s="208">
        <f>2-(50/350)</f>
        <v>1.8571428571428572</v>
      </c>
      <c r="J267" s="110">
        <v>50</v>
      </c>
      <c r="K267" s="161">
        <f t="shared" si="31"/>
        <v>855</v>
      </c>
      <c r="L267" s="161">
        <f t="shared" si="32"/>
        <v>793.92857142857144</v>
      </c>
      <c r="M267" s="161">
        <v>427.5</v>
      </c>
      <c r="N267" s="161">
        <f>+M267*1000/(45*10*14*60)*T267</f>
        <v>5.6547619047619051</v>
      </c>
      <c r="O267" s="161">
        <v>0.5</v>
      </c>
      <c r="P267" s="161">
        <f t="shared" si="34"/>
        <v>11.50170068027211</v>
      </c>
      <c r="Q267" s="161">
        <v>3</v>
      </c>
      <c r="R267" s="19">
        <f t="shared" si="35"/>
        <v>6</v>
      </c>
      <c r="S267" s="161">
        <f t="shared" si="36"/>
        <v>-5.5017006802721102</v>
      </c>
      <c r="T267" s="20">
        <v>5</v>
      </c>
      <c r="U267" s="20">
        <v>2</v>
      </c>
      <c r="V267" s="158">
        <f t="array" ref="V267">IF(ISERROR(L267/K267),"",L267/K267)</f>
        <v>0.9285714285714286</v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208"/>
      <c r="H268" s="208"/>
      <c r="I268" s="208"/>
      <c r="J268" s="110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208"/>
      <c r="H269" s="208"/>
      <c r="I269" s="208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208"/>
      <c r="H270" s="208"/>
      <c r="I270" s="208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208"/>
      <c r="H271" s="208"/>
      <c r="I271" s="208"/>
      <c r="J271" s="110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208"/>
      <c r="H272" s="208"/>
      <c r="I272" s="208"/>
      <c r="J272" s="110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208"/>
      <c r="H273" s="208"/>
      <c r="I273" s="208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208"/>
      <c r="H274" s="208"/>
      <c r="I274" s="208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208"/>
      <c r="H275" s="208"/>
      <c r="I275" s="208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208"/>
      <c r="H276" s="208"/>
      <c r="I276" s="208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208"/>
      <c r="H277" s="208"/>
      <c r="I277" s="208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208"/>
      <c r="H278" s="208"/>
      <c r="I278" s="208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208"/>
      <c r="H279" s="208"/>
      <c r="I279" s="208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208"/>
      <c r="H280" s="208"/>
      <c r="I280" s="208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208"/>
      <c r="H281" s="208"/>
      <c r="I281" s="208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208"/>
      <c r="H282" s="208"/>
      <c r="I282" s="208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208"/>
      <c r="H283" s="208"/>
      <c r="I283" s="208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208"/>
      <c r="H284" s="208"/>
      <c r="I284" s="208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208"/>
      <c r="H285" s="208"/>
      <c r="I285" s="208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208"/>
      <c r="H286" s="208"/>
      <c r="I286" s="208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208"/>
      <c r="H287" s="208"/>
      <c r="I287" s="208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208"/>
      <c r="H288" s="208"/>
      <c r="I288" s="208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208"/>
      <c r="H289" s="208"/>
      <c r="I289" s="208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208"/>
      <c r="H290" s="208"/>
      <c r="I290" s="208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208"/>
      <c r="H291" s="208"/>
      <c r="I291" s="208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212"/>
      <c r="H292" s="212"/>
      <c r="I292" s="212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208"/>
      <c r="H293" s="208"/>
      <c r="I293" s="208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208"/>
      <c r="H294" s="208"/>
      <c r="I294" s="208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208"/>
      <c r="H295" s="208"/>
      <c r="I295" s="208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208"/>
      <c r="H296" s="208"/>
      <c r="I296" s="208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208"/>
      <c r="H297" s="208"/>
      <c r="I297" s="208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208"/>
      <c r="H298" s="208"/>
      <c r="I298" s="208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208"/>
      <c r="H299" s="208"/>
      <c r="I299" s="208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208"/>
      <c r="H300" s="208"/>
      <c r="I300" s="208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208"/>
      <c r="H301" s="208"/>
      <c r="I301" s="208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208"/>
      <c r="H302" s="208"/>
      <c r="I302" s="208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208"/>
      <c r="H303" s="208"/>
      <c r="I303" s="208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208"/>
      <c r="H304" s="208"/>
      <c r="I304" s="208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208"/>
      <c r="H305" s="208"/>
      <c r="I305" s="208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208"/>
      <c r="H306" s="208"/>
      <c r="I306" s="208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208"/>
      <c r="H307" s="208"/>
      <c r="I307" s="208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208"/>
      <c r="H308" s="208"/>
      <c r="I308" s="208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208"/>
      <c r="H309" s="208"/>
      <c r="I309" s="208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208"/>
      <c r="H310" s="208"/>
      <c r="I310" s="208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208"/>
      <c r="H311" s="208"/>
      <c r="I311" s="208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208"/>
      <c r="H312" s="208"/>
      <c r="I312" s="208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208"/>
      <c r="H313" s="208"/>
      <c r="I313" s="208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208"/>
      <c r="H314" s="208"/>
      <c r="I314" s="208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208"/>
      <c r="H315" s="208"/>
      <c r="I315" s="208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208"/>
      <c r="H316" s="208"/>
      <c r="I316" s="208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213"/>
      <c r="H317" s="213"/>
      <c r="I317" s="213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213"/>
      <c r="H318" s="213"/>
      <c r="I318" s="213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213"/>
      <c r="H319" s="213"/>
      <c r="I319" s="213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208"/>
      <c r="H320" s="208"/>
      <c r="I320" s="208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208"/>
      <c r="H321" s="208"/>
      <c r="I321" s="208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208"/>
      <c r="H322" s="208"/>
      <c r="I322" s="208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208"/>
      <c r="H323" s="208"/>
      <c r="I323" s="208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208"/>
      <c r="H324" s="208"/>
      <c r="I324" s="208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208"/>
      <c r="H325" s="208"/>
      <c r="I325" s="208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208"/>
      <c r="H326" s="208"/>
      <c r="I326" s="208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208"/>
      <c r="H327" s="208"/>
      <c r="I327" s="208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208"/>
      <c r="H328" s="208"/>
      <c r="I328" s="208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208"/>
      <c r="H329" s="208"/>
      <c r="I329" s="208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133"/>
      <c r="H330" s="133"/>
      <c r="I330" s="133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133"/>
      <c r="H331" s="133"/>
      <c r="I331" s="133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133"/>
      <c r="H332" s="133"/>
      <c r="I332" s="133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133"/>
      <c r="H333" s="133"/>
      <c r="I333" s="133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133"/>
      <c r="H334" s="133"/>
      <c r="I334" s="133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208"/>
      <c r="H335" s="208"/>
      <c r="I335" s="208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208"/>
      <c r="H336" s="208"/>
      <c r="I336" s="208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208"/>
      <c r="H337" s="208"/>
      <c r="I337" s="208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208"/>
      <c r="H338" s="208"/>
      <c r="I338" s="208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208"/>
      <c r="H339" s="208"/>
      <c r="I339" s="208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208"/>
      <c r="H340" s="208"/>
      <c r="I340" s="208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208"/>
      <c r="H341" s="208"/>
      <c r="I341" s="208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208"/>
      <c r="H342" s="208"/>
      <c r="I342" s="208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208"/>
      <c r="H343" s="208"/>
      <c r="I343" s="208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208"/>
      <c r="H344" s="208"/>
      <c r="I344" s="208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208"/>
      <c r="H345" s="208"/>
      <c r="I345" s="208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>
        <v>6503</v>
      </c>
      <c r="C346" s="226" t="s">
        <v>134</v>
      </c>
      <c r="D346" s="226" t="s">
        <v>131</v>
      </c>
      <c r="E346" s="163" t="s">
        <v>135</v>
      </c>
      <c r="F346" s="162"/>
      <c r="G346" s="208">
        <v>7</v>
      </c>
      <c r="H346" s="208"/>
      <c r="I346" s="208">
        <v>7</v>
      </c>
      <c r="J346" s="161"/>
      <c r="K346" s="161">
        <f t="shared" si="38"/>
        <v>2760.1</v>
      </c>
      <c r="L346" s="161">
        <f t="shared" si="39"/>
        <v>2760.1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44.147472808701217</v>
      </c>
      <c r="Q346" s="161">
        <v>9</v>
      </c>
      <c r="R346" s="19">
        <f t="shared" si="41"/>
        <v>63</v>
      </c>
      <c r="S346" s="161">
        <f t="shared" si="42"/>
        <v>18.852527191298783</v>
      </c>
      <c r="T346" s="20">
        <v>6</v>
      </c>
      <c r="U346" s="20">
        <v>7</v>
      </c>
      <c r="V346" s="158">
        <f t="array" ref="V346">IF(ISERROR(L346/K346),"",L346/K346)</f>
        <v>1</v>
      </c>
      <c r="W346" s="20"/>
      <c r="X346" s="20"/>
      <c r="Y346" s="20"/>
      <c r="Z346" s="20"/>
      <c r="AA346" s="20">
        <v>2.5</v>
      </c>
      <c r="AB346" s="20"/>
      <c r="AC346" s="20"/>
    </row>
    <row r="347" spans="1:29" s="2" customFormat="1" ht="21.95" hidden="1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208"/>
      <c r="H347" s="208"/>
      <c r="I347" s="208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208"/>
      <c r="H348" s="208"/>
      <c r="I348" s="208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208"/>
      <c r="H349" s="208"/>
      <c r="I349" s="208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208"/>
      <c r="H350" s="208"/>
      <c r="I350" s="208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208"/>
      <c r="H351" s="208"/>
      <c r="I351" s="208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208"/>
      <c r="H352" s="208"/>
      <c r="I352" s="208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208"/>
      <c r="H353" s="208"/>
      <c r="I353" s="208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208"/>
      <c r="H354" s="208"/>
      <c r="I354" s="208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208"/>
      <c r="H355" s="208"/>
      <c r="I355" s="208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208"/>
      <c r="H356" s="208"/>
      <c r="I356" s="208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208"/>
      <c r="H357" s="208"/>
      <c r="I357" s="208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208"/>
      <c r="H358" s="208"/>
      <c r="I358" s="208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208"/>
      <c r="H359" s="208"/>
      <c r="I359" s="208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208"/>
      <c r="H360" s="208"/>
      <c r="I360" s="208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208"/>
      <c r="H361" s="208"/>
      <c r="I361" s="208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208"/>
      <c r="H362" s="208"/>
      <c r="I362" s="208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208"/>
      <c r="H363" s="208"/>
      <c r="I363" s="208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208"/>
      <c r="H364" s="208"/>
      <c r="I364" s="208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208"/>
      <c r="H365" s="208"/>
      <c r="I365" s="208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208"/>
      <c r="H366" s="208"/>
      <c r="I366" s="208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208"/>
      <c r="H367" s="208"/>
      <c r="I367" s="208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208"/>
      <c r="H368" s="208"/>
      <c r="I368" s="208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208"/>
      <c r="H369" s="208"/>
      <c r="I369" s="208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208"/>
      <c r="H370" s="208"/>
      <c r="I370" s="208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208"/>
      <c r="H371" s="208"/>
      <c r="I371" s="208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208"/>
      <c r="H372" s="208"/>
      <c r="I372" s="208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208"/>
      <c r="H373" s="208"/>
      <c r="I373" s="208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208"/>
      <c r="H374" s="208"/>
      <c r="I374" s="208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208"/>
      <c r="H375" s="208"/>
      <c r="I375" s="208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208"/>
      <c r="H376" s="208"/>
      <c r="I376" s="208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208"/>
      <c r="H377" s="208"/>
      <c r="I377" s="208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18502</v>
      </c>
      <c r="C378" s="226" t="s">
        <v>157</v>
      </c>
      <c r="D378" s="226" t="s">
        <v>158</v>
      </c>
      <c r="E378" s="163" t="s">
        <v>135</v>
      </c>
      <c r="F378" s="162"/>
      <c r="G378" s="208">
        <f>+I378</f>
        <v>2.125</v>
      </c>
      <c r="H378" s="208">
        <f>50/400</f>
        <v>0.125</v>
      </c>
      <c r="I378" s="208">
        <f>2+H378</f>
        <v>2.125</v>
      </c>
      <c r="J378" s="110"/>
      <c r="K378" s="161">
        <f t="shared" si="46"/>
        <v>1106.6999999999998</v>
      </c>
      <c r="L378" s="161">
        <f t="shared" si="47"/>
        <v>1106.6999999999998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9.4338175122749579</v>
      </c>
      <c r="Q378" s="161">
        <v>2</v>
      </c>
      <c r="R378" s="19">
        <f t="shared" si="49"/>
        <v>14</v>
      </c>
      <c r="S378" s="161">
        <f t="shared" si="50"/>
        <v>4.5661824877250421</v>
      </c>
      <c r="T378" s="20">
        <v>5</v>
      </c>
      <c r="U378" s="20">
        <v>7</v>
      </c>
      <c r="V378" s="158">
        <f t="array" ref="V378">IF(ISERROR(L378/K378),"",L378/K378)</f>
        <v>1</v>
      </c>
      <c r="W378" s="20"/>
      <c r="X378" s="20"/>
      <c r="Y378" s="20"/>
      <c r="Z378" s="20"/>
      <c r="AA378" s="20">
        <v>9.5</v>
      </c>
      <c r="AB378" s="20"/>
      <c r="AC378" s="20"/>
    </row>
    <row r="379" spans="1:29" s="2" customFormat="1" ht="21.95" hidden="1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10"/>
      <c r="H379" s="110"/>
      <c r="I379" s="110"/>
      <c r="J379" s="113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17.324999999999999</v>
      </c>
      <c r="H408" s="161">
        <f t="array" ref="H408">SUM(IF(ISERROR(H215:H407),“”,H215:H407))</f>
        <v>0.32500000000000001</v>
      </c>
      <c r="I408" s="161">
        <f t="array" ref="I408">SUM(IF(ISERROR(I215:I407),“”,I215:I407))</f>
        <v>17.182142857142857</v>
      </c>
      <c r="J408" s="161">
        <f t="array" ref="J408">SUM(IF(ISERROR(J215:J407),“”,J215:J407))</f>
        <v>50</v>
      </c>
      <c r="K408" s="161">
        <f t="array" ref="K408">SUM(IF(ISERROR(K215:K407),“”,K215:K407))</f>
        <v>8106.38</v>
      </c>
      <c r="L408" s="117">
        <f>SUM(L215:L399)</f>
        <v>8045.3085714285708</v>
      </c>
      <c r="M408" s="161"/>
      <c r="N408" s="161"/>
      <c r="O408" s="161">
        <f t="array" ref="O408">SUM(IF(ISERROR(O215:O407),“”,O215:O407))</f>
        <v>1</v>
      </c>
      <c r="P408" s="56">
        <f>SUM((P215:P399),(W413:X418))</f>
        <v>186.57385445506355</v>
      </c>
      <c r="Q408" s="161"/>
      <c r="R408" s="56">
        <f>SUM((R215:R399),(Y413:Z418))</f>
        <v>203.5</v>
      </c>
      <c r="S408" s="161">
        <f t="array" ref="S408">SUM(IF(ISERROR(S215:S407),“”,S215:S407))</f>
        <v>16.926145544936453</v>
      </c>
      <c r="T408" s="161"/>
      <c r="U408" s="161"/>
      <c r="V408" s="158">
        <f t="array" ref="V408">IF(ISERROR(L408/K408),"",L408/K408)</f>
        <v>0.99246625144991607</v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13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>
        <f t="array" ref="O409">IF(ISERROR(P408/R408),"",P408/R408)</f>
        <v>0.91682483761701994</v>
      </c>
      <c r="P409" s="252"/>
      <c r="Q409" s="252"/>
      <c r="R409" s="253"/>
      <c r="S409" s="44"/>
      <c r="T409" s="45"/>
      <c r="U409" s="45"/>
      <c r="V409" s="45"/>
      <c r="W409" s="254">
        <f>SUM(W408:AC408)</f>
        <v>13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>
        <v>102</v>
      </c>
      <c r="F411" s="257"/>
      <c r="G411" s="257">
        <v>101.8</v>
      </c>
      <c r="H411" s="257"/>
      <c r="I411" s="257">
        <f>G411-E411</f>
        <v>-0.20000000000000284</v>
      </c>
      <c r="J411" s="257"/>
      <c r="K411" s="259">
        <f t="array" ref="K411">IF(ISERROR(I411/E411),"",I411/E411)</f>
        <v>-1.9607843137255179E-3</v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>
        <v>1237.7</v>
      </c>
      <c r="F412" s="257"/>
      <c r="G412" s="257">
        <v>1237.7</v>
      </c>
      <c r="H412" s="257"/>
      <c r="I412" s="257">
        <f>G412-E412</f>
        <v>0</v>
      </c>
      <c r="J412" s="257"/>
      <c r="K412" s="259">
        <f t="array" ref="K412">IF(ISERROR(I412/E412),"",I412/E412)</f>
        <v>0</v>
      </c>
      <c r="L412" s="259"/>
      <c r="M412" s="244"/>
      <c r="N412" s="245"/>
      <c r="O412" s="299"/>
      <c r="P412" s="299"/>
      <c r="Q412" s="261" t="s">
        <v>193</v>
      </c>
      <c r="R412" s="261"/>
      <c r="S412" s="262">
        <v>8</v>
      </c>
      <c r="T412" s="262"/>
      <c r="U412" s="262">
        <f>2+7</f>
        <v>9</v>
      </c>
      <c r="V412" s="262"/>
      <c r="W412" s="336">
        <f>S412*11.5</f>
        <v>92</v>
      </c>
      <c r="X412" s="337"/>
      <c r="Y412" s="336">
        <f>U412*11.5</f>
        <v>103.5</v>
      </c>
      <c r="Z412" s="337"/>
      <c r="AA412" s="261">
        <f t="shared" ref="AA412:AA419" si="59">Y412-W412</f>
        <v>11.5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>
        <f>+(89+9+75.5+124+50)*3</f>
        <v>1042.5</v>
      </c>
      <c r="F413" s="257"/>
      <c r="G413" s="257">
        <f>(99+16+96+33+54)*3</f>
        <v>894</v>
      </c>
      <c r="H413" s="257"/>
      <c r="I413" s="257">
        <f>G413-E413</f>
        <v>-148.5</v>
      </c>
      <c r="J413" s="257"/>
      <c r="K413" s="259">
        <f t="array" ref="K413">IF(ISERROR(I413/E413),"",I413/E413)</f>
        <v>-0.14244604316546763</v>
      </c>
      <c r="L413" s="259"/>
      <c r="M413" s="244"/>
      <c r="N413" s="245"/>
      <c r="O413" s="299"/>
      <c r="P413" s="299"/>
      <c r="Q413" s="261" t="s">
        <v>195</v>
      </c>
      <c r="R413" s="261"/>
      <c r="S413" s="262">
        <v>2</v>
      </c>
      <c r="T413" s="262"/>
      <c r="U413" s="262">
        <v>3</v>
      </c>
      <c r="V413" s="262"/>
      <c r="W413" s="336">
        <f t="shared" ref="W413:W418" si="60">S413*11.5</f>
        <v>23</v>
      </c>
      <c r="X413" s="337"/>
      <c r="Y413" s="336">
        <f t="shared" ref="Y413:Y418" si="61">U413*11.5</f>
        <v>34.5</v>
      </c>
      <c r="Z413" s="337"/>
      <c r="AA413" s="261">
        <f t="shared" si="59"/>
        <v>11.5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336">
        <v>0.75</v>
      </c>
      <c r="T414" s="337"/>
      <c r="U414" s="262">
        <v>0</v>
      </c>
      <c r="V414" s="262"/>
      <c r="W414" s="336">
        <f t="shared" si="60"/>
        <v>8.625</v>
      </c>
      <c r="X414" s="337"/>
      <c r="Y414" s="336">
        <f t="shared" si="61"/>
        <v>0</v>
      </c>
      <c r="Z414" s="337"/>
      <c r="AA414" s="261">
        <f t="shared" si="59"/>
        <v>-8.625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>
        <v>147880</v>
      </c>
      <c r="H415" s="302"/>
      <c r="I415" s="263">
        <v>147839</v>
      </c>
      <c r="J415" s="264"/>
      <c r="K415" s="267">
        <f>G415-I415</f>
        <v>41</v>
      </c>
      <c r="L415" s="267"/>
      <c r="M415" s="268">
        <f t="array" ref="M415">IF(ISERROR(K415/L408),"",K415/(L408/1000))</f>
        <v>5.0961376603507711</v>
      </c>
      <c r="N415" s="268"/>
      <c r="O415" s="299"/>
      <c r="P415" s="299"/>
      <c r="Q415" s="261" t="s">
        <v>205</v>
      </c>
      <c r="R415" s="261"/>
      <c r="S415" s="336">
        <v>0.75</v>
      </c>
      <c r="T415" s="337"/>
      <c r="U415" s="262">
        <v>1</v>
      </c>
      <c r="V415" s="262"/>
      <c r="W415" s="336">
        <f t="shared" si="60"/>
        <v>8.625</v>
      </c>
      <c r="X415" s="337"/>
      <c r="Y415" s="336">
        <f t="shared" si="61"/>
        <v>11.5</v>
      </c>
      <c r="Z415" s="337"/>
      <c r="AA415" s="261">
        <f t="shared" si="59"/>
        <v>2.875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>
        <f>28422*120+44621.1*60</f>
        <v>6087906</v>
      </c>
      <c r="H416" s="301"/>
      <c r="I416" s="263">
        <f>28416.9*120+44614*60</f>
        <v>6086868</v>
      </c>
      <c r="J416" s="264"/>
      <c r="K416" s="267">
        <f>G416-I416</f>
        <v>1038</v>
      </c>
      <c r="L416" s="267"/>
      <c r="M416" s="268">
        <f t="array" ref="M416">IF(ISERROR(K416/L408),"",K416/(L408/1000))</f>
        <v>129.01929003522196</v>
      </c>
      <c r="N416" s="268"/>
      <c r="O416" s="299"/>
      <c r="P416" s="299"/>
      <c r="Q416" s="261" t="s">
        <v>208</v>
      </c>
      <c r="R416" s="261"/>
      <c r="S416" s="336">
        <v>1.5</v>
      </c>
      <c r="T416" s="337"/>
      <c r="U416" s="262">
        <v>1</v>
      </c>
      <c r="V416" s="262"/>
      <c r="W416" s="336">
        <f t="shared" si="60"/>
        <v>17.25</v>
      </c>
      <c r="X416" s="337"/>
      <c r="Y416" s="336">
        <f t="shared" si="61"/>
        <v>11.5</v>
      </c>
      <c r="Z416" s="337"/>
      <c r="AA416" s="261">
        <f t="shared" si="59"/>
        <v>-5.75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>
        <f t="array" ref="M417">IF(ISERROR(K417/L408),"",K417/(L408/1000))</f>
        <v>0</v>
      </c>
      <c r="N417" s="271"/>
      <c r="O417" s="299"/>
      <c r="P417" s="299"/>
      <c r="Q417" s="261" t="s">
        <v>211</v>
      </c>
      <c r="R417" s="261"/>
      <c r="S417" s="336">
        <v>1</v>
      </c>
      <c r="T417" s="337"/>
      <c r="U417" s="262">
        <v>1</v>
      </c>
      <c r="V417" s="262"/>
      <c r="W417" s="336">
        <f t="shared" si="60"/>
        <v>11.5</v>
      </c>
      <c r="X417" s="337"/>
      <c r="Y417" s="336">
        <f t="shared" si="61"/>
        <v>11.5</v>
      </c>
      <c r="Z417" s="337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 t="s">
        <v>322</v>
      </c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36">
        <v>3</v>
      </c>
      <c r="T418" s="337"/>
      <c r="U418" s="262">
        <v>3</v>
      </c>
      <c r="V418" s="262"/>
      <c r="W418" s="336">
        <f t="shared" si="60"/>
        <v>34.5</v>
      </c>
      <c r="X418" s="337"/>
      <c r="Y418" s="336">
        <f t="shared" si="61"/>
        <v>34.5</v>
      </c>
      <c r="Z418" s="337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17</v>
      </c>
      <c r="T419" s="262"/>
      <c r="U419" s="262">
        <f>SUM(U412:V418)</f>
        <v>18</v>
      </c>
      <c r="V419" s="262"/>
      <c r="W419" s="261">
        <f t="shared" ref="W413:W419" si="62">S419*9</f>
        <v>153</v>
      </c>
      <c r="X419" s="261"/>
      <c r="Y419" s="261">
        <f t="shared" ref="Y413:Y419" si="63">U419*9</f>
        <v>162</v>
      </c>
      <c r="Z419" s="261"/>
      <c r="AA419" s="261">
        <f t="shared" si="59"/>
        <v>9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>
        <f t="array" ref="S420">IF(ISERROR(L408/Y419),"",L408/Y419)</f>
        <v>49.662398589065255</v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16605.759999999998</v>
      </c>
      <c r="D423" s="315"/>
      <c r="E423" s="311" t="s">
        <v>226</v>
      </c>
      <c r="F423" s="311"/>
      <c r="G423" s="311">
        <f>L199+L408</f>
        <v>16370.408571428572</v>
      </c>
      <c r="H423" s="311"/>
      <c r="I423" s="318" t="s">
        <v>227</v>
      </c>
      <c r="J423" s="318"/>
      <c r="K423" s="317">
        <f>IF(ISERROR(G423/C423),"",G423/C423)</f>
        <v>0.98582712091639124</v>
      </c>
      <c r="L423" s="317"/>
      <c r="M423" s="311" t="s">
        <v>228</v>
      </c>
      <c r="N423" s="311"/>
      <c r="O423" s="312">
        <f>IF(ISERROR(G423/G424),"",G423/G424)</f>
        <v>43.250749197961881</v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351.15592660276002</v>
      </c>
      <c r="D424" s="315"/>
      <c r="E424" s="316" t="s">
        <v>18</v>
      </c>
      <c r="F424" s="316"/>
      <c r="G424" s="311">
        <f>R199+R408</f>
        <v>378.5</v>
      </c>
      <c r="H424" s="311"/>
      <c r="I424" s="291" t="s">
        <v>176</v>
      </c>
      <c r="J424" s="291"/>
      <c r="K424" s="317">
        <f>IF(ISERROR(C424/G424),"",C424/G424)</f>
        <v>0.92775674135471609</v>
      </c>
      <c r="L424" s="317"/>
      <c r="M424" s="257" t="s">
        <v>230</v>
      </c>
      <c r="N424" s="257"/>
      <c r="O424" s="311">
        <f>W200+W409</f>
        <v>17</v>
      </c>
      <c r="P424" s="257"/>
      <c r="Q424" s="257" t="s">
        <v>231</v>
      </c>
      <c r="R424" s="257"/>
      <c r="S424" s="317">
        <f t="array" ref="S424">IF(ISERROR(O424/G424),"",O424/G424)</f>
        <v>4.491413474240423E-2</v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94</v>
      </c>
      <c r="D426" s="315"/>
      <c r="E426" s="311" t="s">
        <v>234</v>
      </c>
      <c r="F426" s="311"/>
      <c r="G426" s="271">
        <f t="array" ref="G426">IF(ISERROR(C426/G423),"",C426/(G423/1000))</f>
        <v>5.7420680485677726</v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2046</v>
      </c>
      <c r="D427" s="315"/>
      <c r="E427" s="311" t="s">
        <v>236</v>
      </c>
      <c r="F427" s="311"/>
      <c r="G427" s="271">
        <f>IF(ISERROR(C427/G423),"",C427/(G423/1000))</f>
        <v>124.98160880180491</v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>
        <f>IF(ISERROR(C428/G423),"",C428/(G423/1000))</f>
        <v>0</v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 t="e">
        <f>K209+K418</f>
        <v>#VALUE!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>
        <f>IF(ISERROR(C430/G423),"",C430/(G423/1000))</f>
        <v>0</v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201</v>
      </c>
      <c r="D432" s="324"/>
      <c r="E432" s="311" t="s">
        <v>247</v>
      </c>
      <c r="F432" s="329"/>
      <c r="G432" s="325">
        <f>+G411+G202</f>
        <v>200.8</v>
      </c>
      <c r="H432" s="326"/>
      <c r="I432" s="311" t="s">
        <v>248</v>
      </c>
      <c r="J432" s="329"/>
      <c r="K432" s="293">
        <f>G432-C432</f>
        <v>-0.19999999999998863</v>
      </c>
      <c r="L432" s="295"/>
      <c r="M432" s="330" t="s">
        <v>249</v>
      </c>
      <c r="N432" s="330"/>
      <c r="O432" s="321">
        <f t="array" ref="O432">IF(ISERROR(K432/C432),"",K432/C432)</f>
        <v>-9.9502487562183389E-4</v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2529.9</v>
      </c>
      <c r="D433" s="324"/>
      <c r="E433" s="311" t="s">
        <v>251</v>
      </c>
      <c r="F433" s="311"/>
      <c r="G433" s="325">
        <f>+G412+G203</f>
        <v>2629.9</v>
      </c>
      <c r="H433" s="326"/>
      <c r="I433" s="311" t="s">
        <v>252</v>
      </c>
      <c r="J433" s="311"/>
      <c r="K433" s="293">
        <f>G433-C433</f>
        <v>100</v>
      </c>
      <c r="L433" s="295"/>
      <c r="M433" s="327" t="s">
        <v>253</v>
      </c>
      <c r="N433" s="328"/>
      <c r="O433" s="321">
        <f t="array" ref="O433">IF(ISERROR(K433/C433),"",K433/C433)</f>
        <v>3.9527254041661727E-2</v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1483.5</v>
      </c>
      <c r="D434" s="324"/>
      <c r="E434" s="311" t="s">
        <v>255</v>
      </c>
      <c r="F434" s="329"/>
      <c r="G434" s="325">
        <f>+G413+G204</f>
        <v>1380</v>
      </c>
      <c r="H434" s="326"/>
      <c r="I434" s="311" t="s">
        <v>256</v>
      </c>
      <c r="J434" s="329"/>
      <c r="K434" s="293">
        <f>G434-C434</f>
        <v>-103.5</v>
      </c>
      <c r="L434" s="295"/>
      <c r="M434" s="327" t="s">
        <v>257</v>
      </c>
      <c r="N434" s="328"/>
      <c r="O434" s="321">
        <f t="array" ref="O434">IF(ISERROR(K434/C434),"",K434/C434)</f>
        <v>-6.9767441860465115E-2</v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4">SUM(D437:F437)-O437-P437-G437</f>
        <v>4</v>
      </c>
      <c r="D437" s="209">
        <v>3</v>
      </c>
      <c r="E437" s="150">
        <v>1</v>
      </c>
      <c r="F437" s="150"/>
      <c r="G437" s="150"/>
      <c r="H437" s="151"/>
      <c r="I437" s="151"/>
      <c r="J437" s="83">
        <f t="shared" ref="J437:J452" si="65">C437-H437-I437</f>
        <v>4</v>
      </c>
      <c r="K437" s="67"/>
      <c r="L437" s="67"/>
      <c r="M437" s="67"/>
      <c r="N437" s="67"/>
      <c r="O437" s="67"/>
      <c r="P437" s="118"/>
      <c r="Q437" s="83">
        <f t="shared" ref="Q437:Q452" si="66">J437-K437-L437</f>
        <v>4</v>
      </c>
      <c r="R437" s="155">
        <f>Q437*11-M437-N437</f>
        <v>44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4"/>
        <v>5</v>
      </c>
      <c r="D438" s="209">
        <v>5</v>
      </c>
      <c r="E438" s="150"/>
      <c r="F438" s="150"/>
      <c r="G438" s="150"/>
      <c r="H438" s="151"/>
      <c r="I438" s="151"/>
      <c r="J438" s="83">
        <f t="shared" si="65"/>
        <v>5</v>
      </c>
      <c r="K438" s="67"/>
      <c r="L438" s="67"/>
      <c r="M438" s="67"/>
      <c r="N438" s="67"/>
      <c r="O438" s="67"/>
      <c r="P438" s="118"/>
      <c r="Q438" s="83">
        <f t="shared" si="66"/>
        <v>5</v>
      </c>
      <c r="R438" s="155">
        <f t="shared" ref="R438:R443" si="67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4"/>
        <v>3</v>
      </c>
      <c r="D439" s="209">
        <v>3</v>
      </c>
      <c r="E439" s="150"/>
      <c r="F439" s="150"/>
      <c r="G439" s="150"/>
      <c r="H439" s="151"/>
      <c r="I439" s="151"/>
      <c r="J439" s="83">
        <f t="shared" si="65"/>
        <v>3</v>
      </c>
      <c r="K439" s="67"/>
      <c r="L439" s="67"/>
      <c r="M439" s="67"/>
      <c r="N439" s="67"/>
      <c r="O439" s="67"/>
      <c r="P439" s="118"/>
      <c r="Q439" s="83">
        <f t="shared" si="66"/>
        <v>3</v>
      </c>
      <c r="R439" s="155">
        <f t="shared" si="67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4"/>
        <v>11</v>
      </c>
      <c r="D440" s="209">
        <v>11</v>
      </c>
      <c r="E440" s="150"/>
      <c r="F440" s="150"/>
      <c r="G440" s="150"/>
      <c r="H440" s="151"/>
      <c r="I440" s="151">
        <v>7</v>
      </c>
      <c r="J440" s="83">
        <f t="shared" si="65"/>
        <v>4</v>
      </c>
      <c r="K440" s="67"/>
      <c r="L440" s="67"/>
      <c r="M440" s="67"/>
      <c r="N440" s="67"/>
      <c r="O440" s="67"/>
      <c r="P440" s="118"/>
      <c r="Q440" s="83">
        <f t="shared" si="66"/>
        <v>4</v>
      </c>
      <c r="R440" s="155">
        <f t="shared" si="67"/>
        <v>44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4"/>
        <v>0</v>
      </c>
      <c r="D441" s="209">
        <v>0</v>
      </c>
      <c r="E441" s="150"/>
      <c r="F441" s="150"/>
      <c r="G441" s="150"/>
      <c r="H441" s="151"/>
      <c r="I441" s="151"/>
      <c r="J441" s="83">
        <f t="shared" si="65"/>
        <v>0</v>
      </c>
      <c r="K441" s="67"/>
      <c r="L441" s="67"/>
      <c r="M441" s="67"/>
      <c r="N441" s="67"/>
      <c r="O441" s="67"/>
      <c r="P441" s="118"/>
      <c r="Q441" s="83">
        <f t="shared" si="66"/>
        <v>0</v>
      </c>
      <c r="R441" s="155">
        <f t="shared" si="6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4"/>
        <v>2</v>
      </c>
      <c r="D442" s="209">
        <v>2</v>
      </c>
      <c r="E442" s="67"/>
      <c r="F442" s="67"/>
      <c r="G442" s="67"/>
      <c r="H442" s="67"/>
      <c r="I442" s="67"/>
      <c r="J442" s="83">
        <f t="shared" si="65"/>
        <v>2</v>
      </c>
      <c r="K442" s="67"/>
      <c r="L442" s="67"/>
      <c r="M442" s="67"/>
      <c r="N442" s="67"/>
      <c r="O442" s="67"/>
      <c r="P442" s="67"/>
      <c r="Q442" s="83">
        <f t="shared" si="66"/>
        <v>2</v>
      </c>
      <c r="R442" s="155">
        <f t="shared" si="67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8">SUM(D443:F443)-O443-P443-G443</f>
        <v>25</v>
      </c>
      <c r="D443" s="68">
        <f>SUM(D437:D442)</f>
        <v>24</v>
      </c>
      <c r="E443" s="68">
        <f t="shared" ref="E443:P443" si="69">SUM(E437:E442)</f>
        <v>1</v>
      </c>
      <c r="F443" s="68">
        <f t="shared" si="69"/>
        <v>0</v>
      </c>
      <c r="G443" s="68">
        <f t="shared" si="69"/>
        <v>0</v>
      </c>
      <c r="H443" s="68">
        <f t="shared" si="69"/>
        <v>0</v>
      </c>
      <c r="I443" s="68">
        <f t="shared" si="69"/>
        <v>7</v>
      </c>
      <c r="J443" s="84">
        <f t="shared" si="65"/>
        <v>18</v>
      </c>
      <c r="K443" s="68">
        <f t="shared" si="69"/>
        <v>0</v>
      </c>
      <c r="L443" s="68">
        <f t="shared" si="69"/>
        <v>0</v>
      </c>
      <c r="M443" s="68">
        <f t="shared" si="69"/>
        <v>0</v>
      </c>
      <c r="N443" s="68">
        <f t="shared" si="69"/>
        <v>0</v>
      </c>
      <c r="O443" s="68">
        <f t="shared" si="69"/>
        <v>0</v>
      </c>
      <c r="P443" s="68">
        <f t="shared" si="69"/>
        <v>0</v>
      </c>
      <c r="Q443" s="83">
        <f t="shared" si="66"/>
        <v>18</v>
      </c>
      <c r="R443" s="155">
        <f t="shared" si="67"/>
        <v>198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8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5"/>
        <v>3</v>
      </c>
      <c r="K444" s="67"/>
      <c r="L444" s="67"/>
      <c r="M444" s="67"/>
      <c r="N444" s="67"/>
      <c r="O444" s="67"/>
      <c r="P444" s="67"/>
      <c r="Q444" s="83">
        <f t="shared" si="66"/>
        <v>3</v>
      </c>
      <c r="R444" s="155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8"/>
        <v>2</v>
      </c>
      <c r="D445" s="209">
        <v>2</v>
      </c>
      <c r="E445" s="67"/>
      <c r="F445" s="67"/>
      <c r="G445" s="67"/>
      <c r="H445" s="67"/>
      <c r="I445" s="67"/>
      <c r="J445" s="83">
        <f t="shared" si="65"/>
        <v>2</v>
      </c>
      <c r="K445" s="67"/>
      <c r="L445" s="67"/>
      <c r="M445" s="67"/>
      <c r="N445" s="67"/>
      <c r="O445" s="67"/>
      <c r="P445" s="67"/>
      <c r="Q445" s="83">
        <f t="shared" si="66"/>
        <v>2</v>
      </c>
      <c r="R445" s="155">
        <f t="shared" ref="R445:R450" si="70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8"/>
        <v>3</v>
      </c>
      <c r="D446" s="209">
        <v>3</v>
      </c>
      <c r="E446" s="67"/>
      <c r="F446" s="67"/>
      <c r="G446" s="67"/>
      <c r="H446" s="67"/>
      <c r="I446" s="67"/>
      <c r="J446" s="83">
        <f t="shared" si="65"/>
        <v>3</v>
      </c>
      <c r="K446" s="67"/>
      <c r="L446" s="67"/>
      <c r="M446" s="67"/>
      <c r="N446" s="67"/>
      <c r="P446" s="67"/>
      <c r="Q446" s="83">
        <f t="shared" si="66"/>
        <v>3</v>
      </c>
      <c r="R446" s="155">
        <f t="shared" si="70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8"/>
        <v>15</v>
      </c>
      <c r="D447" s="209">
        <v>15</v>
      </c>
      <c r="E447" s="67"/>
      <c r="F447" s="67"/>
      <c r="G447" s="67"/>
      <c r="H447" s="67"/>
      <c r="I447" s="67">
        <v>8</v>
      </c>
      <c r="J447" s="83">
        <f t="shared" si="65"/>
        <v>7</v>
      </c>
      <c r="K447" s="67"/>
      <c r="L447" s="67"/>
      <c r="M447" s="67"/>
      <c r="N447" s="67"/>
      <c r="O447" s="67"/>
      <c r="P447" s="67"/>
      <c r="Q447" s="83">
        <f t="shared" si="66"/>
        <v>7</v>
      </c>
      <c r="R447" s="155">
        <f t="shared" si="70"/>
        <v>80.5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8"/>
        <v>1</v>
      </c>
      <c r="D448" s="209">
        <v>1</v>
      </c>
      <c r="E448" s="67"/>
      <c r="F448" s="67"/>
      <c r="G448" s="67"/>
      <c r="H448" s="67"/>
      <c r="I448" s="67"/>
      <c r="J448" s="83">
        <f t="shared" si="65"/>
        <v>1</v>
      </c>
      <c r="K448" s="67"/>
      <c r="L448" s="67"/>
      <c r="M448" s="110"/>
      <c r="N448" s="67"/>
      <c r="O448" s="67"/>
      <c r="P448" s="67"/>
      <c r="Q448" s="83">
        <f t="shared" si="66"/>
        <v>1</v>
      </c>
      <c r="R448" s="155">
        <f t="shared" si="70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8"/>
        <v>2</v>
      </c>
      <c r="D449" s="209">
        <v>2</v>
      </c>
      <c r="E449" s="67"/>
      <c r="F449" s="67"/>
      <c r="G449" s="67"/>
      <c r="H449" s="67"/>
      <c r="I449" s="67"/>
      <c r="J449" s="83">
        <f t="shared" si="65"/>
        <v>2</v>
      </c>
      <c r="K449" s="67"/>
      <c r="L449" s="67"/>
      <c r="M449" s="67"/>
      <c r="N449" s="67"/>
      <c r="O449" s="67"/>
      <c r="P449" s="67"/>
      <c r="Q449" s="83">
        <f t="shared" si="66"/>
        <v>2</v>
      </c>
      <c r="R449" s="155">
        <f t="shared" si="70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8"/>
        <v>27</v>
      </c>
      <c r="D450" s="69">
        <f t="shared" ref="D450" si="71">SUM(D444:D449)</f>
        <v>27</v>
      </c>
      <c r="E450" s="69">
        <f t="shared" ref="D450:I450" si="72">SUM(E444:E449)</f>
        <v>0</v>
      </c>
      <c r="F450" s="69">
        <f t="shared" si="72"/>
        <v>0</v>
      </c>
      <c r="G450" s="69">
        <f t="shared" si="72"/>
        <v>0</v>
      </c>
      <c r="H450" s="69">
        <f t="shared" si="72"/>
        <v>0</v>
      </c>
      <c r="I450" s="69">
        <f t="shared" si="72"/>
        <v>9</v>
      </c>
      <c r="J450" s="85">
        <f t="shared" si="65"/>
        <v>18</v>
      </c>
      <c r="K450" s="69">
        <f t="shared" ref="K450:P450" si="73">SUM(K444:K449)</f>
        <v>0</v>
      </c>
      <c r="L450" s="69">
        <f t="shared" si="73"/>
        <v>0</v>
      </c>
      <c r="M450" s="69">
        <f t="shared" si="73"/>
        <v>0</v>
      </c>
      <c r="N450" s="69">
        <f t="shared" si="73"/>
        <v>0</v>
      </c>
      <c r="O450" s="69">
        <f t="shared" si="73"/>
        <v>0</v>
      </c>
      <c r="P450" s="69">
        <f t="shared" si="73"/>
        <v>0</v>
      </c>
      <c r="Q450" s="83">
        <f t="shared" si="66"/>
        <v>18</v>
      </c>
      <c r="R450" s="155">
        <f t="shared" si="70"/>
        <v>207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8"/>
        <v>2</v>
      </c>
      <c r="D451" s="223">
        <v>2</v>
      </c>
      <c r="E451" s="150"/>
      <c r="F451" s="150"/>
      <c r="G451" s="150"/>
      <c r="H451" s="151"/>
      <c r="I451" s="83"/>
      <c r="J451" s="83">
        <f t="shared" si="65"/>
        <v>2</v>
      </c>
      <c r="K451" s="151"/>
      <c r="L451" s="151"/>
      <c r="M451" s="151"/>
      <c r="N451" s="151"/>
      <c r="O451" s="151"/>
      <c r="P451" s="166"/>
      <c r="Q451" s="83">
        <f t="shared" si="66"/>
        <v>2</v>
      </c>
      <c r="R451" s="155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8"/>
        <v>54</v>
      </c>
      <c r="D452" s="69">
        <f>+D451+D450+D443</f>
        <v>53</v>
      </c>
      <c r="E452" s="69">
        <f>+E443+E450+E451</f>
        <v>1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16</v>
      </c>
      <c r="J452" s="85">
        <f t="shared" si="65"/>
        <v>38</v>
      </c>
      <c r="K452" s="69">
        <f t="shared" ref="K452:P452" si="74">+K443+K450+K451</f>
        <v>0</v>
      </c>
      <c r="L452" s="69">
        <f t="shared" si="74"/>
        <v>0</v>
      </c>
      <c r="M452" s="69">
        <f t="shared" si="74"/>
        <v>0</v>
      </c>
      <c r="N452" s="69">
        <f t="shared" si="74"/>
        <v>0</v>
      </c>
      <c r="O452" s="69">
        <f t="shared" si="74"/>
        <v>0</v>
      </c>
      <c r="P452" s="69">
        <f t="shared" si="74"/>
        <v>0</v>
      </c>
      <c r="Q452" s="83">
        <f t="shared" si="66"/>
        <v>38</v>
      </c>
      <c r="R452" s="67">
        <f>R443+R450+R451</f>
        <v>427</v>
      </c>
      <c r="S452" s="123">
        <f t="array" ref="S452">IF(ISERROR(Q452/J452),"",Q452/J452)</f>
        <v>1</v>
      </c>
      <c r="T452" s="16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2"/>
  <dimension ref="A1:AC454"/>
  <sheetViews>
    <sheetView workbookViewId="0">
      <pane xSplit="5" ySplit="57" topLeftCell="F58" activePane="bottomRight" state="frozen"/>
      <selection pane="topRight" activeCell="F1" sqref="F1"/>
      <selection pane="bottomLeft" activeCell="A58" sqref="A58"/>
      <selection pane="bottomRight" activeCell="H141" sqref="H14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hidden="1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hidden="1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hidden="1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hidden="1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hidden="1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hidden="1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hidden="1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hidden="1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hidden="1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hidden="1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hidden="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>
        <v>4503</v>
      </c>
      <c r="C58" s="226" t="s">
        <v>77</v>
      </c>
      <c r="D58" s="226" t="s">
        <v>78</v>
      </c>
      <c r="E58" s="163" t="s">
        <v>79</v>
      </c>
      <c r="F58" s="13"/>
      <c r="G58" s="208">
        <f>+I58</f>
        <v>1.1428571428571428</v>
      </c>
      <c r="H58" s="208">
        <f>50/350</f>
        <v>0.14285714285714285</v>
      </c>
      <c r="I58" s="208">
        <f>1+H58</f>
        <v>1.1428571428571428</v>
      </c>
      <c r="J58" s="110"/>
      <c r="K58" s="161">
        <f t="shared" si="0"/>
        <v>488.57142857142856</v>
      </c>
      <c r="L58" s="161">
        <f t="shared" si="1"/>
        <v>488.57142857142856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6.4625850340136051</v>
      </c>
      <c r="Q58" s="161">
        <v>2</v>
      </c>
      <c r="R58" s="19">
        <f t="shared" si="3"/>
        <v>10</v>
      </c>
      <c r="S58" s="161">
        <f t="shared" si="4"/>
        <v>3.5374149659863949</v>
      </c>
      <c r="T58" s="20">
        <v>5</v>
      </c>
      <c r="U58" s="20">
        <v>5</v>
      </c>
      <c r="V58" s="158">
        <f t="array" ref="V58">IF(ISERROR(L58/K58),"",L58/K58)</f>
        <v>1</v>
      </c>
      <c r="W58" s="20"/>
      <c r="X58" s="20"/>
      <c r="Y58" s="20"/>
      <c r="Z58" s="20"/>
      <c r="AA58" s="20">
        <v>3.5</v>
      </c>
      <c r="AB58" s="20"/>
      <c r="AC58" s="20"/>
    </row>
    <row r="59" spans="1:29" ht="21.95" customHeight="1">
      <c r="A59" s="157">
        <v>300045</v>
      </c>
      <c r="B59" s="150">
        <v>4503</v>
      </c>
      <c r="C59" s="226" t="s">
        <v>77</v>
      </c>
      <c r="D59" s="226" t="s">
        <v>78</v>
      </c>
      <c r="E59" s="163" t="s">
        <v>35</v>
      </c>
      <c r="F59" s="13"/>
      <c r="G59" s="208">
        <v>6</v>
      </c>
      <c r="H59" s="208"/>
      <c r="I59" s="208">
        <v>6</v>
      </c>
      <c r="J59" s="110"/>
      <c r="K59" s="161">
        <f t="shared" si="0"/>
        <v>2439.6000000000004</v>
      </c>
      <c r="L59" s="161">
        <f t="shared" si="1"/>
        <v>2439.6000000000004</v>
      </c>
      <c r="M59" s="15">
        <v>406.6</v>
      </c>
      <c r="N59" s="161">
        <f>+M59*1000/(45*10*13*60)*T59</f>
        <v>5.7920227920227916</v>
      </c>
      <c r="O59" s="161">
        <v>0.5</v>
      </c>
      <c r="P59" s="161">
        <f t="shared" si="2"/>
        <v>37.252136752136749</v>
      </c>
      <c r="Q59" s="161">
        <v>5</v>
      </c>
      <c r="R59" s="19">
        <f t="shared" si="3"/>
        <v>25</v>
      </c>
      <c r="S59" s="161">
        <f t="shared" si="4"/>
        <v>-12.252136752136749</v>
      </c>
      <c r="T59" s="20">
        <v>5</v>
      </c>
      <c r="U59" s="20">
        <v>5</v>
      </c>
      <c r="V59" s="158">
        <f t="array" ref="V59">IF(ISERROR(L59/K59),"",L59/K59)</f>
        <v>1</v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208"/>
      <c r="H60" s="208"/>
      <c r="I60" s="208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208"/>
      <c r="H61" s="208"/>
      <c r="I61" s="208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208"/>
      <c r="H62" s="208"/>
      <c r="I62" s="208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208"/>
      <c r="H63" s="208"/>
      <c r="I63" s="208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208"/>
      <c r="H64" s="208"/>
      <c r="I64" s="208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208"/>
      <c r="H65" s="208"/>
      <c r="I65" s="208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208"/>
      <c r="H66" s="208"/>
      <c r="I66" s="208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208"/>
      <c r="H67" s="208"/>
      <c r="I67" s="208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208"/>
      <c r="H68" s="208"/>
      <c r="I68" s="208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208"/>
      <c r="H69" s="208"/>
      <c r="I69" s="208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208"/>
      <c r="H70" s="208"/>
      <c r="I70" s="208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208"/>
      <c r="H71" s="208"/>
      <c r="I71" s="208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208"/>
      <c r="H72" s="208"/>
      <c r="I72" s="208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208"/>
      <c r="H73" s="208"/>
      <c r="I73" s="208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213"/>
      <c r="H74" s="213"/>
      <c r="I74" s="213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208"/>
      <c r="H75" s="208"/>
      <c r="I75" s="208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208"/>
      <c r="H76" s="208"/>
      <c r="I76" s="208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208"/>
      <c r="H77" s="208"/>
      <c r="I77" s="208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208"/>
      <c r="H78" s="208"/>
      <c r="I78" s="208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208"/>
      <c r="H79" s="208"/>
      <c r="I79" s="208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208"/>
      <c r="H80" s="208"/>
      <c r="I80" s="208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208"/>
      <c r="H81" s="208"/>
      <c r="I81" s="208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208"/>
      <c r="H82" s="208"/>
      <c r="I82" s="208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212"/>
      <c r="H83" s="212"/>
      <c r="I83" s="212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208"/>
      <c r="H84" s="208"/>
      <c r="I84" s="208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208"/>
      <c r="H85" s="208"/>
      <c r="I85" s="208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208"/>
      <c r="H86" s="208"/>
      <c r="I86" s="208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208"/>
      <c r="H87" s="208"/>
      <c r="I87" s="208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208"/>
      <c r="H88" s="208"/>
      <c r="I88" s="208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208"/>
      <c r="H89" s="208"/>
      <c r="I89" s="208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208"/>
      <c r="H90" s="208"/>
      <c r="I90" s="208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208"/>
      <c r="H91" s="208"/>
      <c r="I91" s="208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208"/>
      <c r="H92" s="208"/>
      <c r="I92" s="208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208"/>
      <c r="H93" s="208"/>
      <c r="I93" s="208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208"/>
      <c r="H94" s="208"/>
      <c r="I94" s="208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208"/>
      <c r="H95" s="208"/>
      <c r="I95" s="208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208"/>
      <c r="H96" s="208"/>
      <c r="I96" s="208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213"/>
      <c r="H97" s="213"/>
      <c r="I97" s="213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208"/>
      <c r="H98" s="208"/>
      <c r="I98" s="208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208"/>
      <c r="H99" s="208"/>
      <c r="I99" s="208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208"/>
      <c r="H100" s="208"/>
      <c r="I100" s="208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208"/>
      <c r="H101" s="208"/>
      <c r="I101" s="208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208"/>
      <c r="H102" s="208"/>
      <c r="I102" s="208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208"/>
      <c r="H103" s="208"/>
      <c r="I103" s="208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208"/>
      <c r="H104" s="208"/>
      <c r="I104" s="208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208"/>
      <c r="H105" s="208"/>
      <c r="I105" s="208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213"/>
      <c r="H106" s="213"/>
      <c r="I106" s="213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213"/>
      <c r="H107" s="213"/>
      <c r="I107" s="213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213"/>
      <c r="H108" s="213"/>
      <c r="I108" s="213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213"/>
      <c r="H109" s="213"/>
      <c r="I109" s="213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213"/>
      <c r="H110" s="213"/>
      <c r="I110" s="213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208"/>
      <c r="H111" s="208"/>
      <c r="I111" s="208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208"/>
      <c r="H112" s="208"/>
      <c r="I112" s="208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208"/>
      <c r="H113" s="208"/>
      <c r="I113" s="208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208"/>
      <c r="H114" s="208"/>
      <c r="I114" s="208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208"/>
      <c r="H115" s="208"/>
      <c r="I115" s="208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208"/>
      <c r="H116" s="208"/>
      <c r="I116" s="208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208"/>
      <c r="H117" s="208"/>
      <c r="I117" s="208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208"/>
      <c r="H118" s="208"/>
      <c r="I118" s="208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208"/>
      <c r="H119" s="208"/>
      <c r="I119" s="208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208"/>
      <c r="H120" s="208"/>
      <c r="I120" s="208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133"/>
      <c r="H121" s="133"/>
      <c r="I121" s="133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133"/>
      <c r="H122" s="133"/>
      <c r="I122" s="133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133"/>
      <c r="H123" s="133"/>
      <c r="I123" s="133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133"/>
      <c r="H124" s="133"/>
      <c r="I124" s="133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133"/>
      <c r="H125" s="133"/>
      <c r="I125" s="133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208"/>
      <c r="H126" s="208"/>
      <c r="I126" s="208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208"/>
      <c r="H127" s="208"/>
      <c r="I127" s="208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208"/>
      <c r="H128" s="208"/>
      <c r="I128" s="208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208"/>
      <c r="H129" s="208"/>
      <c r="I129" s="208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208"/>
      <c r="H130" s="208"/>
      <c r="I130" s="208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208"/>
      <c r="H131" s="208"/>
      <c r="I131" s="208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208"/>
      <c r="H132" s="208"/>
      <c r="I132" s="208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208"/>
      <c r="H133" s="208"/>
      <c r="I133" s="208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208"/>
      <c r="H134" s="208"/>
      <c r="I134" s="208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208"/>
      <c r="H135" s="208"/>
      <c r="I135" s="208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208"/>
      <c r="H136" s="208"/>
      <c r="I136" s="208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208"/>
      <c r="H137" s="208"/>
      <c r="I137" s="208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208"/>
      <c r="H138" s="208"/>
      <c r="I138" s="208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208"/>
      <c r="H139" s="208"/>
      <c r="I139" s="208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208"/>
      <c r="H140" s="208"/>
      <c r="I140" s="208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>
        <v>6503</v>
      </c>
      <c r="C141" s="226" t="s">
        <v>139</v>
      </c>
      <c r="D141" s="226" t="s">
        <v>140</v>
      </c>
      <c r="E141" s="163" t="s">
        <v>135</v>
      </c>
      <c r="F141" s="27"/>
      <c r="G141" s="208">
        <v>3</v>
      </c>
      <c r="H141" s="208"/>
      <c r="I141" s="208">
        <v>3</v>
      </c>
      <c r="J141" s="110"/>
      <c r="K141" s="161">
        <f t="shared" si="7"/>
        <v>1671</v>
      </c>
      <c r="L141" s="161">
        <f t="shared" si="8"/>
        <v>1671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18.346508563899867</v>
      </c>
      <c r="Q141" s="161">
        <v>4</v>
      </c>
      <c r="R141" s="19">
        <f t="shared" si="10"/>
        <v>24</v>
      </c>
      <c r="S141" s="161">
        <f t="shared" si="11"/>
        <v>5.6534914361001327</v>
      </c>
      <c r="T141" s="20">
        <v>5</v>
      </c>
      <c r="U141" s="20">
        <v>6</v>
      </c>
      <c r="V141" s="158">
        <f t="array" ref="V141">IF(ISERROR(L141/K141),"",L141/K141)</f>
        <v>1</v>
      </c>
      <c r="W141" s="20"/>
      <c r="X141" s="20"/>
      <c r="Y141" s="20"/>
      <c r="Z141" s="20"/>
      <c r="AA141" s="20">
        <v>7</v>
      </c>
      <c r="AB141" s="20"/>
      <c r="AC141" s="20"/>
    </row>
    <row r="142" spans="1:29" s="2" customFormat="1" ht="21.95" hidden="1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10.142857142857142</v>
      </c>
      <c r="H199" s="161">
        <f t="array" ref="H199">SUM(IF(ISERROR(H6:H198),“”,H6:H198))</f>
        <v>0.14285714285714285</v>
      </c>
      <c r="I199" s="161">
        <f t="array" ref="I199">SUM(IF(ISERROR(I6:I198),“”,I6:I198))</f>
        <v>10.142857142857142</v>
      </c>
      <c r="J199" s="161">
        <f t="array" ref="J199">SUM(IF(ISERROR(J6:J198),“”,J6:J198))</f>
        <v>0</v>
      </c>
      <c r="K199" s="161">
        <f t="array" ref="K199">SUM(IF(ISERROR(K6:K198),“”,K6:K198))</f>
        <v>4599.1714285714288</v>
      </c>
      <c r="L199" s="56">
        <f>SUM(L6:L198)</f>
        <v>4599.1714285714288</v>
      </c>
      <c r="M199" s="161"/>
      <c r="N199" s="161"/>
      <c r="O199" s="161">
        <f>SUM(O6:O190)</f>
        <v>0.5</v>
      </c>
      <c r="P199" s="56">
        <f>SUM((P6:P190),(W204:X209))</f>
        <v>161.06123035005021</v>
      </c>
      <c r="Q199" s="161"/>
      <c r="R199" s="56">
        <f>SUM((R6:R190),(Y204:Z209))</f>
        <v>125</v>
      </c>
      <c r="S199" s="161">
        <f t="array" ref="S199">SUM(IF(ISERROR(S6:S198),“”,S6:S198))</f>
        <v>-3.0612303500502218</v>
      </c>
      <c r="T199" s="161"/>
      <c r="U199" s="161"/>
      <c r="V199" s="158">
        <f>IF(ISERROR(L199/K199),"",L199/K199)</f>
        <v>1</v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10.5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>
        <f>IF(ISERROR(P199/R199),"",P199/R199)</f>
        <v>1.2884898428004017</v>
      </c>
      <c r="P200" s="252"/>
      <c r="Q200" s="252"/>
      <c r="R200" s="253"/>
      <c r="S200" s="44"/>
      <c r="T200" s="45"/>
      <c r="U200" s="45"/>
      <c r="V200" s="45"/>
      <c r="W200" s="254">
        <f>SUM(W199:AC199)</f>
        <v>10.5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>
        <v>73</v>
      </c>
      <c r="F202" s="257"/>
      <c r="G202" s="257">
        <v>48.6</v>
      </c>
      <c r="H202" s="257"/>
      <c r="I202" s="257">
        <f>G202-E202</f>
        <v>-24.4</v>
      </c>
      <c r="J202" s="257"/>
      <c r="K202" s="259">
        <f t="array" ref="K202">IF(ISERROR(I202/E202),"",I202/E202)</f>
        <v>-0.33424657534246571</v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>
        <v>676.6</v>
      </c>
      <c r="F203" s="257"/>
      <c r="G203" s="257">
        <v>717.6</v>
      </c>
      <c r="H203" s="257"/>
      <c r="I203" s="257">
        <f>G203-E203</f>
        <v>41</v>
      </c>
      <c r="J203" s="257"/>
      <c r="K203" s="259">
        <f t="array" ref="K203">IF(ISERROR(I203/E203),"",I203/E203)</f>
        <v>6.0597103162873187E-2</v>
      </c>
      <c r="L203" s="259"/>
      <c r="M203" s="244"/>
      <c r="N203" s="245"/>
      <c r="O203" s="260"/>
      <c r="P203" s="260"/>
      <c r="Q203" s="261" t="s">
        <v>193</v>
      </c>
      <c r="R203" s="261"/>
      <c r="S203" s="262">
        <v>8</v>
      </c>
      <c r="T203" s="262"/>
      <c r="U203" s="262">
        <f>5+6</f>
        <v>11</v>
      </c>
      <c r="V203" s="262"/>
      <c r="W203" s="261">
        <f t="shared" ref="W203:W210" si="28">S203*11</f>
        <v>88</v>
      </c>
      <c r="X203" s="261"/>
      <c r="Y203" s="261">
        <f t="shared" ref="Y203:Y210" si="29">U203*11</f>
        <v>121</v>
      </c>
      <c r="Z203" s="261"/>
      <c r="AA203" s="261">
        <f t="shared" ref="AA203:AA210" si="30">Y203-W203</f>
        <v>33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>
        <f>(19+150+102+41.4)*3</f>
        <v>937.19999999999993</v>
      </c>
      <c r="F204" s="257"/>
      <c r="G204" s="257">
        <f>(42+132+93+36)*3</f>
        <v>909</v>
      </c>
      <c r="H204" s="257"/>
      <c r="I204" s="257">
        <f>G204-E204</f>
        <v>-28.199999999999932</v>
      </c>
      <c r="J204" s="257"/>
      <c r="K204" s="259">
        <f t="array" ref="K204">IF(ISERROR(I204/E204),"",I204/E204)</f>
        <v>-3.0089628681177906E-2</v>
      </c>
      <c r="L204" s="259"/>
      <c r="M204" s="244"/>
      <c r="N204" s="245"/>
      <c r="O204" s="260"/>
      <c r="P204" s="260"/>
      <c r="Q204" s="261" t="s">
        <v>195</v>
      </c>
      <c r="R204" s="261"/>
      <c r="S204" s="262">
        <v>2</v>
      </c>
      <c r="T204" s="262"/>
      <c r="U204" s="262">
        <v>0</v>
      </c>
      <c r="V204" s="262"/>
      <c r="W204" s="261">
        <f t="shared" si="28"/>
        <v>22</v>
      </c>
      <c r="X204" s="261"/>
      <c r="Y204" s="261">
        <f t="shared" si="29"/>
        <v>0</v>
      </c>
      <c r="Z204" s="261"/>
      <c r="AA204" s="261">
        <f t="shared" si="30"/>
        <v>-22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336">
        <v>0.75</v>
      </c>
      <c r="T205" s="337"/>
      <c r="U205" s="262">
        <v>0</v>
      </c>
      <c r="V205" s="262"/>
      <c r="W205" s="261">
        <f t="shared" si="28"/>
        <v>8.25</v>
      </c>
      <c r="X205" s="261"/>
      <c r="Y205" s="261">
        <f t="shared" si="29"/>
        <v>0</v>
      </c>
      <c r="Z205" s="261"/>
      <c r="AA205" s="261">
        <f t="shared" si="30"/>
        <v>-8.25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>
        <v>147908</v>
      </c>
      <c r="H206" s="264"/>
      <c r="I206" s="302">
        <v>147880</v>
      </c>
      <c r="J206" s="302"/>
      <c r="K206" s="267">
        <f>G206-I206</f>
        <v>28</v>
      </c>
      <c r="L206" s="267"/>
      <c r="M206" s="268">
        <f t="array" ref="M206">IF(ISERROR(K206/L199),"",K206/(L199/1000))</f>
        <v>6.0880531275819862</v>
      </c>
      <c r="N206" s="268"/>
      <c r="O206" s="260"/>
      <c r="P206" s="260"/>
      <c r="Q206" s="261" t="s">
        <v>205</v>
      </c>
      <c r="R206" s="261"/>
      <c r="S206" s="336">
        <v>0.75</v>
      </c>
      <c r="T206" s="337"/>
      <c r="U206" s="262">
        <v>1</v>
      </c>
      <c r="V206" s="262"/>
      <c r="W206" s="261">
        <f t="shared" si="28"/>
        <v>8.25</v>
      </c>
      <c r="X206" s="261"/>
      <c r="Y206" s="261">
        <f t="shared" si="29"/>
        <v>11</v>
      </c>
      <c r="Z206" s="261"/>
      <c r="AA206" s="261">
        <f t="shared" si="30"/>
        <v>2.75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>
        <f>28424.9*120+44624.9*60</f>
        <v>6088482</v>
      </c>
      <c r="H207" s="264"/>
      <c r="I207" s="300">
        <f>28422*120+44621.1*60</f>
        <v>6087906</v>
      </c>
      <c r="J207" s="301"/>
      <c r="K207" s="267">
        <f>G207-I207</f>
        <v>576</v>
      </c>
      <c r="L207" s="267"/>
      <c r="M207" s="268">
        <f t="array" ref="M207">IF(ISERROR(K207/L199),"",K207/(L199/1000))</f>
        <v>125.23995005311514</v>
      </c>
      <c r="N207" s="268"/>
      <c r="O207" s="260"/>
      <c r="P207" s="260"/>
      <c r="Q207" s="261" t="s">
        <v>208</v>
      </c>
      <c r="R207" s="261"/>
      <c r="S207" s="336">
        <v>1.5</v>
      </c>
      <c r="T207" s="337"/>
      <c r="U207" s="262">
        <v>1</v>
      </c>
      <c r="V207" s="262"/>
      <c r="W207" s="261">
        <f t="shared" si="28"/>
        <v>16.5</v>
      </c>
      <c r="X207" s="261"/>
      <c r="Y207" s="261">
        <f t="shared" si="29"/>
        <v>11</v>
      </c>
      <c r="Z207" s="261"/>
      <c r="AA207" s="261">
        <f t="shared" si="30"/>
        <v>-5.5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>
        <f t="array" ref="M208">IF(ISERROR(K208/L199),"",K208/(L199/1000))</f>
        <v>0</v>
      </c>
      <c r="N208" s="271"/>
      <c r="O208" s="260"/>
      <c r="P208" s="260"/>
      <c r="Q208" s="261" t="s">
        <v>211</v>
      </c>
      <c r="R208" s="261"/>
      <c r="S208" s="336">
        <v>1</v>
      </c>
      <c r="T208" s="337"/>
      <c r="U208" s="262">
        <v>1</v>
      </c>
      <c r="V208" s="262"/>
      <c r="W208" s="261">
        <f t="shared" si="28"/>
        <v>11</v>
      </c>
      <c r="X208" s="261"/>
      <c r="Y208" s="261">
        <f t="shared" si="29"/>
        <v>11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 t="s">
        <v>322</v>
      </c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336">
        <v>3</v>
      </c>
      <c r="T209" s="337"/>
      <c r="U209" s="262">
        <v>3</v>
      </c>
      <c r="V209" s="262"/>
      <c r="W209" s="261">
        <f t="shared" si="28"/>
        <v>33</v>
      </c>
      <c r="X209" s="261"/>
      <c r="Y209" s="261">
        <f t="shared" si="29"/>
        <v>33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17</v>
      </c>
      <c r="T210" s="262"/>
      <c r="U210" s="262">
        <f>SUM(U203:V209)</f>
        <v>17</v>
      </c>
      <c r="V210" s="262"/>
      <c r="W210" s="261">
        <f t="shared" si="28"/>
        <v>187</v>
      </c>
      <c r="X210" s="261"/>
      <c r="Y210" s="261">
        <f t="shared" si="29"/>
        <v>187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>
        <f t="array" ref="S211">IF(ISERROR(L199/Y210),"",L199/Y210)</f>
        <v>24.59449961802903</v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hidden="1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hidden="1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hidden="1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hidden="1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hidden="1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hidden="1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hidden="1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hidden="1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hidden="1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hidden="1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hidden="1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hidden="1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hidden="1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hidden="1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hidden="1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hidden="1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hidden="1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hidden="1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hidden="1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hidden="1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hidden="1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hidden="1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hidden="1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hidden="1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hidden="1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hidden="1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hidden="1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4599.1714285714288</v>
      </c>
      <c r="D423" s="315"/>
      <c r="E423" s="311" t="s">
        <v>226</v>
      </c>
      <c r="F423" s="311"/>
      <c r="G423" s="311">
        <f>L199+L408</f>
        <v>4599.1714285714288</v>
      </c>
      <c r="H423" s="311"/>
      <c r="I423" s="318" t="s">
        <v>227</v>
      </c>
      <c r="J423" s="318"/>
      <c r="K423" s="317">
        <f>IF(ISERROR(G423/C423),"",G423/C423)</f>
        <v>1</v>
      </c>
      <c r="L423" s="317"/>
      <c r="M423" s="311" t="s">
        <v>228</v>
      </c>
      <c r="N423" s="311"/>
      <c r="O423" s="312">
        <f>IF(ISERROR(G423/G424),"",G423/G424)</f>
        <v>36.793371428571433</v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161.06123035005021</v>
      </c>
      <c r="D424" s="315"/>
      <c r="E424" s="316" t="s">
        <v>18</v>
      </c>
      <c r="F424" s="316"/>
      <c r="G424" s="311">
        <f>R199+R408</f>
        <v>125</v>
      </c>
      <c r="H424" s="311"/>
      <c r="I424" s="291" t="s">
        <v>176</v>
      </c>
      <c r="J424" s="291"/>
      <c r="K424" s="317">
        <f>IF(ISERROR(C424/G424),"",C424/G424)</f>
        <v>1.2884898428004017</v>
      </c>
      <c r="L424" s="317"/>
      <c r="M424" s="257" t="s">
        <v>230</v>
      </c>
      <c r="N424" s="257"/>
      <c r="O424" s="311">
        <f>W200+W409</f>
        <v>10.5</v>
      </c>
      <c r="P424" s="257"/>
      <c r="Q424" s="257" t="s">
        <v>231</v>
      </c>
      <c r="R424" s="257"/>
      <c r="S424" s="317">
        <f t="array" ref="S424">IF(ISERROR(O424/G424),"",O424/G424)</f>
        <v>8.4000000000000005E-2</v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28</v>
      </c>
      <c r="D426" s="315"/>
      <c r="E426" s="311" t="s">
        <v>234</v>
      </c>
      <c r="F426" s="311"/>
      <c r="G426" s="271">
        <f t="array" ref="G426">IF(ISERROR(C426/G423),"",C426/(G423/1000))</f>
        <v>6.0880531275819862</v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576</v>
      </c>
      <c r="D427" s="315"/>
      <c r="E427" s="311" t="s">
        <v>236</v>
      </c>
      <c r="F427" s="311"/>
      <c r="G427" s="271">
        <f>IF(ISERROR(C427/G423),"",C427/(G423/1000))</f>
        <v>125.23995005311514</v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>
        <f>IF(ISERROR(C428/G423),"",C428/(G423/1000))</f>
        <v>0</v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 t="e">
        <f>K209+K418</f>
        <v>#VALUE!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>
        <f>IF(ISERROR(C430/G423),"",C430/(G423/1000))</f>
        <v>0</v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73</v>
      </c>
      <c r="D432" s="324"/>
      <c r="E432" s="311" t="s">
        <v>247</v>
      </c>
      <c r="F432" s="329"/>
      <c r="G432" s="325">
        <f>+G411+G202</f>
        <v>48.6</v>
      </c>
      <c r="H432" s="326"/>
      <c r="I432" s="311" t="s">
        <v>248</v>
      </c>
      <c r="J432" s="329"/>
      <c r="K432" s="293">
        <f>G432-C432</f>
        <v>-24.4</v>
      </c>
      <c r="L432" s="295"/>
      <c r="M432" s="330" t="s">
        <v>249</v>
      </c>
      <c r="N432" s="330"/>
      <c r="O432" s="321">
        <f t="array" ref="O432">IF(ISERROR(K432/C432),"",K432/C432)</f>
        <v>-0.33424657534246571</v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676.6</v>
      </c>
      <c r="D433" s="324"/>
      <c r="E433" s="311" t="s">
        <v>251</v>
      </c>
      <c r="F433" s="311"/>
      <c r="G433" s="325">
        <f>+G412+G203</f>
        <v>717.6</v>
      </c>
      <c r="H433" s="326"/>
      <c r="I433" s="311" t="s">
        <v>252</v>
      </c>
      <c r="J433" s="311"/>
      <c r="K433" s="293">
        <f>G433-C433</f>
        <v>41</v>
      </c>
      <c r="L433" s="295"/>
      <c r="M433" s="327" t="s">
        <v>253</v>
      </c>
      <c r="N433" s="328"/>
      <c r="O433" s="321">
        <f t="array" ref="O433">IF(ISERROR(K433/C433),"",K433/C433)</f>
        <v>6.0597103162873187E-2</v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937.19999999999993</v>
      </c>
      <c r="D434" s="324"/>
      <c r="E434" s="311" t="s">
        <v>255</v>
      </c>
      <c r="F434" s="329"/>
      <c r="G434" s="325">
        <f>+G413+G204</f>
        <v>909</v>
      </c>
      <c r="H434" s="326"/>
      <c r="I434" s="311" t="s">
        <v>256</v>
      </c>
      <c r="J434" s="329"/>
      <c r="K434" s="293">
        <f>G434-C434</f>
        <v>-28.199999999999932</v>
      </c>
      <c r="L434" s="295"/>
      <c r="M434" s="327" t="s">
        <v>257</v>
      </c>
      <c r="N434" s="328"/>
      <c r="O434" s="321">
        <f t="array" ref="O434">IF(ISERROR(K434/C434),"",K434/C434)</f>
        <v>-3.0089628681177906E-2</v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223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3</v>
      </c>
      <c r="D437" s="209">
        <v>3</v>
      </c>
      <c r="E437" s="150"/>
      <c r="F437" s="150"/>
      <c r="G437" s="150"/>
      <c r="H437" s="151"/>
      <c r="I437" s="151"/>
      <c r="J437" s="83">
        <f t="shared" ref="J437:J452" si="63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3</v>
      </c>
      <c r="R437" s="155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5</v>
      </c>
      <c r="D438" s="209">
        <v>5</v>
      </c>
      <c r="E438" s="150"/>
      <c r="F438" s="150"/>
      <c r="G438" s="150"/>
      <c r="H438" s="151"/>
      <c r="I438" s="151"/>
      <c r="J438" s="83">
        <f t="shared" si="63"/>
        <v>5</v>
      </c>
      <c r="K438" s="67"/>
      <c r="L438" s="67"/>
      <c r="M438" s="67"/>
      <c r="N438" s="67"/>
      <c r="O438" s="67"/>
      <c r="P438" s="118"/>
      <c r="Q438" s="83">
        <f t="shared" si="64"/>
        <v>5</v>
      </c>
      <c r="R438" s="155">
        <f t="shared" ref="R438:R443" si="65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3</v>
      </c>
      <c r="D439" s="209">
        <v>3</v>
      </c>
      <c r="E439" s="150"/>
      <c r="F439" s="150"/>
      <c r="G439" s="150"/>
      <c r="H439" s="151"/>
      <c r="I439" s="151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5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11</v>
      </c>
      <c r="D440" s="209">
        <v>11</v>
      </c>
      <c r="E440" s="150"/>
      <c r="F440" s="150"/>
      <c r="G440" s="150"/>
      <c r="H440" s="151"/>
      <c r="I440" s="151">
        <v>7</v>
      </c>
      <c r="J440" s="83">
        <f t="shared" si="63"/>
        <v>4</v>
      </c>
      <c r="K440" s="67"/>
      <c r="L440" s="67"/>
      <c r="M440" s="67"/>
      <c r="N440" s="67"/>
      <c r="O440" s="67"/>
      <c r="P440" s="118"/>
      <c r="Q440" s="83">
        <f t="shared" si="64"/>
        <v>4</v>
      </c>
      <c r="R440" s="155">
        <f t="shared" si="65"/>
        <v>44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209">
        <v>0</v>
      </c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2</v>
      </c>
      <c r="D442" s="209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5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24</v>
      </c>
      <c r="D443" s="68">
        <f>SUM(D437:D442)</f>
        <v>24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7</v>
      </c>
      <c r="J443" s="84">
        <f t="shared" si="63"/>
        <v>17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17</v>
      </c>
      <c r="R443" s="155">
        <f t="shared" si="65"/>
        <v>187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4</v>
      </c>
      <c r="D444" s="209">
        <v>4</v>
      </c>
      <c r="E444" s="67"/>
      <c r="F444" s="67"/>
      <c r="G444" s="67"/>
      <c r="H444" s="67">
        <v>3</v>
      </c>
      <c r="I444" s="67">
        <v>1</v>
      </c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2</v>
      </c>
      <c r="D445" s="209">
        <v>2</v>
      </c>
      <c r="E445" s="67"/>
      <c r="F445" s="67"/>
      <c r="G445" s="67"/>
      <c r="H445" s="67">
        <v>2</v>
      </c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3</v>
      </c>
      <c r="D446" s="209">
        <v>3</v>
      </c>
      <c r="E446" s="67"/>
      <c r="F446" s="67"/>
      <c r="G446" s="67"/>
      <c r="H446" s="67">
        <v>3</v>
      </c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15</v>
      </c>
      <c r="D447" s="209">
        <v>15</v>
      </c>
      <c r="E447" s="67"/>
      <c r="F447" s="67"/>
      <c r="G447" s="67"/>
      <c r="H447" s="67">
        <v>11</v>
      </c>
      <c r="I447" s="67">
        <v>4</v>
      </c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1</v>
      </c>
      <c r="D448" s="209">
        <v>1</v>
      </c>
      <c r="E448" s="67"/>
      <c r="F448" s="67"/>
      <c r="G448" s="67"/>
      <c r="H448" s="67">
        <v>1</v>
      </c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2</v>
      </c>
      <c r="D449" s="209">
        <v>2</v>
      </c>
      <c r="E449" s="67"/>
      <c r="F449" s="67"/>
      <c r="G449" s="67"/>
      <c r="H449" s="67">
        <v>2</v>
      </c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27</v>
      </c>
      <c r="D450" s="69">
        <f t="shared" ref="D450" si="69">SUM(D444:D449)</f>
        <v>27</v>
      </c>
      <c r="E450" s="69">
        <f t="shared" ref="D450:I450" si="70">SUM(E444:E449)</f>
        <v>0</v>
      </c>
      <c r="F450" s="69">
        <f t="shared" si="70"/>
        <v>0</v>
      </c>
      <c r="G450" s="69">
        <f t="shared" si="70"/>
        <v>0</v>
      </c>
      <c r="H450" s="69">
        <f t="shared" si="70"/>
        <v>22</v>
      </c>
      <c r="I450" s="69">
        <f t="shared" si="70"/>
        <v>5</v>
      </c>
      <c r="J450" s="85">
        <f t="shared" si="63"/>
        <v>0</v>
      </c>
      <c r="K450" s="69">
        <f t="shared" ref="K450:P450" si="71">SUM(K444:K449)</f>
        <v>0</v>
      </c>
      <c r="L450" s="69">
        <f t="shared" si="71"/>
        <v>0</v>
      </c>
      <c r="M450" s="69">
        <f t="shared" si="71"/>
        <v>0</v>
      </c>
      <c r="N450" s="69">
        <f t="shared" si="71"/>
        <v>0</v>
      </c>
      <c r="O450" s="69">
        <f t="shared" si="71"/>
        <v>0</v>
      </c>
      <c r="P450" s="69">
        <f t="shared" si="71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2</v>
      </c>
      <c r="D451" s="223">
        <v>2</v>
      </c>
      <c r="E451" s="150"/>
      <c r="F451" s="150"/>
      <c r="G451" s="150"/>
      <c r="H451" s="151"/>
      <c r="I451" s="83"/>
      <c r="J451" s="83">
        <f t="shared" si="63"/>
        <v>2</v>
      </c>
      <c r="K451" s="151"/>
      <c r="L451" s="151"/>
      <c r="M451" s="151"/>
      <c r="N451" s="151"/>
      <c r="O451" s="151"/>
      <c r="P451" s="166"/>
      <c r="Q451" s="83">
        <f t="shared" si="64"/>
        <v>2</v>
      </c>
      <c r="R451" s="155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53</v>
      </c>
      <c r="D452" s="69">
        <f>+D451+D450+D443</f>
        <v>53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22</v>
      </c>
      <c r="I452" s="69">
        <f>+I443+I450+I451</f>
        <v>12</v>
      </c>
      <c r="J452" s="85">
        <f t="shared" si="63"/>
        <v>19</v>
      </c>
      <c r="K452" s="69">
        <f t="shared" ref="K452:P452" si="72">+K443+K450+K451</f>
        <v>0</v>
      </c>
      <c r="L452" s="69">
        <f t="shared" si="72"/>
        <v>0</v>
      </c>
      <c r="M452" s="69">
        <f t="shared" si="72"/>
        <v>0</v>
      </c>
      <c r="N452" s="69">
        <f t="shared" si="72"/>
        <v>0</v>
      </c>
      <c r="O452" s="69">
        <f t="shared" si="72"/>
        <v>0</v>
      </c>
      <c r="P452" s="69">
        <f t="shared" si="72"/>
        <v>0</v>
      </c>
      <c r="Q452" s="83">
        <f t="shared" si="64"/>
        <v>19</v>
      </c>
      <c r="R452" s="67">
        <f>R443+R450+R451</f>
        <v>209</v>
      </c>
      <c r="S452" s="123">
        <f t="array" ref="S452">IF(ISERROR(Q452/J452),"",Q452/J452)</f>
        <v>1</v>
      </c>
      <c r="T452" s="16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3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4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5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opLeftCell="A277" workbookViewId="0">
      <selection activeCell="H297" sqref="H29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8"/>
  <dimension ref="A1:AC454"/>
  <sheetViews>
    <sheetView topLeftCell="A283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7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50" t="s">
        <v>25</v>
      </c>
      <c r="S5" s="227"/>
      <c r="T5" s="229"/>
      <c r="U5" s="229"/>
      <c r="V5" s="231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239" t="s">
        <v>34</v>
      </c>
      <c r="D6" s="239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239" t="s">
        <v>34</v>
      </c>
      <c r="D7" s="239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239" t="s">
        <v>34</v>
      </c>
      <c r="D8" s="239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239" t="s">
        <v>34</v>
      </c>
      <c r="D9" s="239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26" t="s">
        <v>34</v>
      </c>
      <c r="D10" s="226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26" t="s">
        <v>34</v>
      </c>
      <c r="D11" s="226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26" t="s">
        <v>34</v>
      </c>
      <c r="D12" s="226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26" t="s">
        <v>34</v>
      </c>
      <c r="D13" s="226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237" t="s">
        <v>313</v>
      </c>
      <c r="D14" s="238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237" t="s">
        <v>313</v>
      </c>
      <c r="D15" s="238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237" t="s">
        <v>44</v>
      </c>
      <c r="D16" s="238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237" t="s">
        <v>44</v>
      </c>
      <c r="D17" s="238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237" t="s">
        <v>44</v>
      </c>
      <c r="D18" s="238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26" t="s">
        <v>45</v>
      </c>
      <c r="D19" s="226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26" t="s">
        <v>46</v>
      </c>
      <c r="D20" s="226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26" t="s">
        <v>48</v>
      </c>
      <c r="D21" s="226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26" t="s">
        <v>50</v>
      </c>
      <c r="D22" s="226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26" t="s">
        <v>50</v>
      </c>
      <c r="D23" s="226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26" t="s">
        <v>50</v>
      </c>
      <c r="D24" s="226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26" t="s">
        <v>51</v>
      </c>
      <c r="D25" s="226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26" t="s">
        <v>51</v>
      </c>
      <c r="D26" s="226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26" t="s">
        <v>51</v>
      </c>
      <c r="D27" s="226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26" t="s">
        <v>51</v>
      </c>
      <c r="D28" s="226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26" t="s">
        <v>53</v>
      </c>
      <c r="D30" s="226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26" t="s">
        <v>53</v>
      </c>
      <c r="D31" s="226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26" t="s">
        <v>53</v>
      </c>
      <c r="D32" s="226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26" t="s">
        <v>56</v>
      </c>
      <c r="D33" s="226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26" t="s">
        <v>56</v>
      </c>
      <c r="D34" s="226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26" t="s">
        <v>56</v>
      </c>
      <c r="D35" s="226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26" t="s">
        <v>56</v>
      </c>
      <c r="D36" s="226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26" t="s">
        <v>58</v>
      </c>
      <c r="D37" s="226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237" t="s">
        <v>304</v>
      </c>
      <c r="D38" s="238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237" t="s">
        <v>304</v>
      </c>
      <c r="D39" s="238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237" t="s">
        <v>304</v>
      </c>
      <c r="D40" s="238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26" t="s">
        <v>61</v>
      </c>
      <c r="D41" s="226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26" t="s">
        <v>61</v>
      </c>
      <c r="D42" s="226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26" t="s">
        <v>61</v>
      </c>
      <c r="D43" s="226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26" t="s">
        <v>64</v>
      </c>
      <c r="D44" s="226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26" t="s">
        <v>64</v>
      </c>
      <c r="D45" s="226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237" t="s">
        <v>68</v>
      </c>
      <c r="D46" s="238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237" t="s">
        <v>68</v>
      </c>
      <c r="D47" s="238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237" t="s">
        <v>68</v>
      </c>
      <c r="D48" s="238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237" t="s">
        <v>68</v>
      </c>
      <c r="D49" s="238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26" t="s">
        <v>73</v>
      </c>
      <c r="D50" s="226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26" t="s">
        <v>73</v>
      </c>
      <c r="D51" s="226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26" t="s">
        <v>73</v>
      </c>
      <c r="D52" s="226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26" t="s">
        <v>73</v>
      </c>
      <c r="D53" s="226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26" t="s">
        <v>75</v>
      </c>
      <c r="D54" s="226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26" t="s">
        <v>75</v>
      </c>
      <c r="D55" s="226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26" t="s">
        <v>75</v>
      </c>
      <c r="D56" s="226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26" t="s">
        <v>77</v>
      </c>
      <c r="D58" s="226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26" t="s">
        <v>77</v>
      </c>
      <c r="D59" s="226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237" t="s">
        <v>301</v>
      </c>
      <c r="D60" s="238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237" t="s">
        <v>301</v>
      </c>
      <c r="D61" s="238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26" t="s">
        <v>81</v>
      </c>
      <c r="D62" s="226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26" t="s">
        <v>81</v>
      </c>
      <c r="D63" s="226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237" t="s">
        <v>83</v>
      </c>
      <c r="D64" s="238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237" t="s">
        <v>83</v>
      </c>
      <c r="D65" s="238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237" t="s">
        <v>83</v>
      </c>
      <c r="D66" s="238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237" t="s">
        <v>86</v>
      </c>
      <c r="D67" s="238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237" t="s">
        <v>86</v>
      </c>
      <c r="D68" s="238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237" t="s">
        <v>86</v>
      </c>
      <c r="D69" s="238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26" t="s">
        <v>88</v>
      </c>
      <c r="D70" s="226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26" t="s">
        <v>88</v>
      </c>
      <c r="D71" s="226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26" t="s">
        <v>88</v>
      </c>
      <c r="D72" s="226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26" t="s">
        <v>88</v>
      </c>
      <c r="D73" s="226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26" t="s">
        <v>91</v>
      </c>
      <c r="D75" s="226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26" t="s">
        <v>93</v>
      </c>
      <c r="D76" s="226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26" t="s">
        <v>95</v>
      </c>
      <c r="D77" s="226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26" t="s">
        <v>93</v>
      </c>
      <c r="D78" s="226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26" t="s">
        <v>98</v>
      </c>
      <c r="D79" s="226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26" t="s">
        <v>98</v>
      </c>
      <c r="D80" s="226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26" t="s">
        <v>98</v>
      </c>
      <c r="D81" s="226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26" t="s">
        <v>98</v>
      </c>
      <c r="D82" s="226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26" t="s">
        <v>100</v>
      </c>
      <c r="D84" s="226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26" t="s">
        <v>100</v>
      </c>
      <c r="D85" s="226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26" t="s">
        <v>100</v>
      </c>
      <c r="D86" s="226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26" t="s">
        <v>100</v>
      </c>
      <c r="D87" s="226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26" t="s">
        <v>106</v>
      </c>
      <c r="D88" s="226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26" t="s">
        <v>106</v>
      </c>
      <c r="D89" s="226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26" t="s">
        <v>106</v>
      </c>
      <c r="D90" s="226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26" t="s">
        <v>106</v>
      </c>
      <c r="D91" s="226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26" t="s">
        <v>107</v>
      </c>
      <c r="D92" s="226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26" t="s">
        <v>107</v>
      </c>
      <c r="D93" s="226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26" t="s">
        <v>107</v>
      </c>
      <c r="D94" s="226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26" t="s">
        <v>107</v>
      </c>
      <c r="D95" s="226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26" t="s">
        <v>107</v>
      </c>
      <c r="D96" s="226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26" t="s">
        <v>110</v>
      </c>
      <c r="D98" s="226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26" t="s">
        <v>110</v>
      </c>
      <c r="D99" s="226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26" t="s">
        <v>112</v>
      </c>
      <c r="D100" s="226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26" t="s">
        <v>112</v>
      </c>
      <c r="D101" s="226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26" t="s">
        <v>112</v>
      </c>
      <c r="D102" s="226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237" t="s">
        <v>296</v>
      </c>
      <c r="D103" s="238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237" t="s">
        <v>296</v>
      </c>
      <c r="D104" s="238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237" t="s">
        <v>296</v>
      </c>
      <c r="D105" s="238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26" t="s">
        <v>119</v>
      </c>
      <c r="D111" s="226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26" t="s">
        <v>119</v>
      </c>
      <c r="D112" s="226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26" t="s">
        <v>121</v>
      </c>
      <c r="D113" s="226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26" t="s">
        <v>121</v>
      </c>
      <c r="D114" s="226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26" t="s">
        <v>121</v>
      </c>
      <c r="D115" s="226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26" t="s">
        <v>123</v>
      </c>
      <c r="D116" s="226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26" t="s">
        <v>125</v>
      </c>
      <c r="D117" s="226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26" t="s">
        <v>123</v>
      </c>
      <c r="D118" s="226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26" t="s">
        <v>123</v>
      </c>
      <c r="D119" s="226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26" t="s">
        <v>123</v>
      </c>
      <c r="D120" s="226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26" t="s">
        <v>127</v>
      </c>
      <c r="D121" s="226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26" t="s">
        <v>127</v>
      </c>
      <c r="D122" s="226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26" t="s">
        <v>127</v>
      </c>
      <c r="D123" s="226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26" t="s">
        <v>127</v>
      </c>
      <c r="D124" s="226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26" t="s">
        <v>127</v>
      </c>
      <c r="D125" s="226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26" t="s">
        <v>128</v>
      </c>
      <c r="D126" s="226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26" t="s">
        <v>128</v>
      </c>
      <c r="D127" s="226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26" t="s">
        <v>128</v>
      </c>
      <c r="D128" s="226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26" t="s">
        <v>128</v>
      </c>
      <c r="D129" s="226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237" t="s">
        <v>129</v>
      </c>
      <c r="D130" s="238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237" t="s">
        <v>129</v>
      </c>
      <c r="D131" s="238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26" t="s">
        <v>130</v>
      </c>
      <c r="D132" s="226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26" t="s">
        <v>130</v>
      </c>
      <c r="D133" s="226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26" t="s">
        <v>130</v>
      </c>
      <c r="D134" s="226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26" t="s">
        <v>130</v>
      </c>
      <c r="D135" s="226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26" t="s">
        <v>130</v>
      </c>
      <c r="D136" s="226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26" t="s">
        <v>134</v>
      </c>
      <c r="D137" s="226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26" t="s">
        <v>134</v>
      </c>
      <c r="D138" s="226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237" t="s">
        <v>137</v>
      </c>
      <c r="D139" s="238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237" t="s">
        <v>137</v>
      </c>
      <c r="D140" s="238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26" t="s">
        <v>139</v>
      </c>
      <c r="D141" s="226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26" t="s">
        <v>141</v>
      </c>
      <c r="D142" s="226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26" t="s">
        <v>143</v>
      </c>
      <c r="D143" s="226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26" t="s">
        <v>143</v>
      </c>
      <c r="D144" s="226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26" t="s">
        <v>143</v>
      </c>
      <c r="D145" s="226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26" t="s">
        <v>145</v>
      </c>
      <c r="D146" s="226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26" t="s">
        <v>145</v>
      </c>
      <c r="D147" s="226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26" t="s">
        <v>145</v>
      </c>
      <c r="D148" s="226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237" t="s">
        <v>145</v>
      </c>
      <c r="D149" s="238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237" t="s">
        <v>153</v>
      </c>
      <c r="D157" s="238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237" t="s">
        <v>153</v>
      </c>
      <c r="D158" s="238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237" t="s">
        <v>153</v>
      </c>
      <c r="D159" s="238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237" t="s">
        <v>153</v>
      </c>
      <c r="D160" s="238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44" t="s">
        <v>154</v>
      </c>
      <c r="D161" s="245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44" t="s">
        <v>154</v>
      </c>
      <c r="D162" s="245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44" t="s">
        <v>154</v>
      </c>
      <c r="D163" s="245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44" t="s">
        <v>154</v>
      </c>
      <c r="D164" s="245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26" t="s">
        <v>156</v>
      </c>
      <c r="D168" s="226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26" t="s">
        <v>157</v>
      </c>
      <c r="D169" s="226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26" t="s">
        <v>157</v>
      </c>
      <c r="D170" s="226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26" t="s">
        <v>159</v>
      </c>
      <c r="D171" s="226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26" t="s">
        <v>159</v>
      </c>
      <c r="D172" s="226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26" t="s">
        <v>159</v>
      </c>
      <c r="D173" s="226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26" t="s">
        <v>159</v>
      </c>
      <c r="D174" s="226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26" t="s">
        <v>161</v>
      </c>
      <c r="D175" s="226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26" t="s">
        <v>161</v>
      </c>
      <c r="D176" s="226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26" t="s">
        <v>162</v>
      </c>
      <c r="D177" s="226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26" t="s">
        <v>162</v>
      </c>
      <c r="D178" s="226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26" t="s">
        <v>162</v>
      </c>
      <c r="D179" s="226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26" t="s">
        <v>162</v>
      </c>
      <c r="D180" s="226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26" t="s">
        <v>165</v>
      </c>
      <c r="D181" s="226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26" t="s">
        <v>165</v>
      </c>
      <c r="D182" s="226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26" t="s">
        <v>165</v>
      </c>
      <c r="D183" s="226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26" t="s">
        <v>165</v>
      </c>
      <c r="D184" s="226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26" t="s">
        <v>165</v>
      </c>
      <c r="D185" s="226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26" t="s">
        <v>165</v>
      </c>
      <c r="D186" s="226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237" t="s">
        <v>168</v>
      </c>
      <c r="D187" s="238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237" t="s">
        <v>168</v>
      </c>
      <c r="D188" s="238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237" t="s">
        <v>168</v>
      </c>
      <c r="D189" s="238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237" t="s">
        <v>168</v>
      </c>
      <c r="D190" s="238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26" t="s">
        <v>312</v>
      </c>
      <c r="D191" s="226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26" t="s">
        <v>312</v>
      </c>
      <c r="D192" s="226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26" t="s">
        <v>312</v>
      </c>
      <c r="D193" s="226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26" t="s">
        <v>312</v>
      </c>
      <c r="D194" s="226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237" t="s">
        <v>172</v>
      </c>
      <c r="D195" s="238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237" t="s">
        <v>172</v>
      </c>
      <c r="D196" s="238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237" t="s">
        <v>172</v>
      </c>
      <c r="D197" s="238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237" t="s">
        <v>172</v>
      </c>
      <c r="D198" s="238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59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59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59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50" t="s">
        <v>25</v>
      </c>
      <c r="S214" s="227"/>
      <c r="T214" s="229"/>
      <c r="U214" s="229"/>
      <c r="V214" s="231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239" t="s">
        <v>34</v>
      </c>
      <c r="D215" s="239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292" t="s">
        <v>34</v>
      </c>
      <c r="D216" s="292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292" t="s">
        <v>34</v>
      </c>
      <c r="D217" s="292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292" t="s">
        <v>34</v>
      </c>
      <c r="D218" s="292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292" t="s">
        <v>34</v>
      </c>
      <c r="D219" s="292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292" t="s">
        <v>34</v>
      </c>
      <c r="D220" s="292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292" t="s">
        <v>34</v>
      </c>
      <c r="D221" s="292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292" t="s">
        <v>34</v>
      </c>
      <c r="D222" s="292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237" t="s">
        <v>313</v>
      </c>
      <c r="D223" s="238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237" t="s">
        <v>313</v>
      </c>
      <c r="D224" s="238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237" t="s">
        <v>44</v>
      </c>
      <c r="D225" s="238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237" t="s">
        <v>44</v>
      </c>
      <c r="D226" s="238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237" t="s">
        <v>44</v>
      </c>
      <c r="D227" s="238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26" t="s">
        <v>45</v>
      </c>
      <c r="D228" s="226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26" t="s">
        <v>46</v>
      </c>
      <c r="D229" s="226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26" t="s">
        <v>48</v>
      </c>
      <c r="D230" s="226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26" t="s">
        <v>50</v>
      </c>
      <c r="D231" s="226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26" t="s">
        <v>50</v>
      </c>
      <c r="D232" s="226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26" t="s">
        <v>50</v>
      </c>
      <c r="D233" s="226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26" t="s">
        <v>51</v>
      </c>
      <c r="D234" s="226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26" t="s">
        <v>51</v>
      </c>
      <c r="D235" s="226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26" t="s">
        <v>51</v>
      </c>
      <c r="D236" s="226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26" t="s">
        <v>51</v>
      </c>
      <c r="D237" s="226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26" t="s">
        <v>53</v>
      </c>
      <c r="D239" s="226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26" t="s">
        <v>53</v>
      </c>
      <c r="D240" s="226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26" t="s">
        <v>53</v>
      </c>
      <c r="D241" s="226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26" t="s">
        <v>56</v>
      </c>
      <c r="D242" s="226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26" t="s">
        <v>56</v>
      </c>
      <c r="D243" s="226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26" t="s">
        <v>56</v>
      </c>
      <c r="D244" s="226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26" t="s">
        <v>56</v>
      </c>
      <c r="D245" s="226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26" t="s">
        <v>58</v>
      </c>
      <c r="D246" s="226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237" t="s">
        <v>304</v>
      </c>
      <c r="D247" s="238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237" t="s">
        <v>304</v>
      </c>
      <c r="D248" s="238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237" t="s">
        <v>304</v>
      </c>
      <c r="D249" s="238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26" t="s">
        <v>61</v>
      </c>
      <c r="D250" s="226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26" t="s">
        <v>61</v>
      </c>
      <c r="D251" s="226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26" t="s">
        <v>61</v>
      </c>
      <c r="D252" s="226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26" t="s">
        <v>64</v>
      </c>
      <c r="D253" s="226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26" t="s">
        <v>64</v>
      </c>
      <c r="D254" s="226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237" t="s">
        <v>68</v>
      </c>
      <c r="D255" s="238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237" t="s">
        <v>68</v>
      </c>
      <c r="D256" s="238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237" t="s">
        <v>68</v>
      </c>
      <c r="D257" s="238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237" t="s">
        <v>68</v>
      </c>
      <c r="D258" s="238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26" t="s">
        <v>73</v>
      </c>
      <c r="D259" s="226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26" t="s">
        <v>73</v>
      </c>
      <c r="D260" s="226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26" t="s">
        <v>73</v>
      </c>
      <c r="D261" s="226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26" t="s">
        <v>73</v>
      </c>
      <c r="D262" s="226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26" t="s">
        <v>75</v>
      </c>
      <c r="D263" s="226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26" t="s">
        <v>75</v>
      </c>
      <c r="D264" s="226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26" t="s">
        <v>75</v>
      </c>
      <c r="D265" s="226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26" t="s">
        <v>77</v>
      </c>
      <c r="D267" s="226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26" t="s">
        <v>77</v>
      </c>
      <c r="D268" s="226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237" t="s">
        <v>301</v>
      </c>
      <c r="D269" s="238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237" t="s">
        <v>301</v>
      </c>
      <c r="D270" s="238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26" t="s">
        <v>81</v>
      </c>
      <c r="D271" s="226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26" t="s">
        <v>81</v>
      </c>
      <c r="D272" s="226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237" t="s">
        <v>83</v>
      </c>
      <c r="D273" s="238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237" t="s">
        <v>83</v>
      </c>
      <c r="D274" s="238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237" t="s">
        <v>83</v>
      </c>
      <c r="D275" s="238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237" t="s">
        <v>86</v>
      </c>
      <c r="D276" s="238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237" t="s">
        <v>86</v>
      </c>
      <c r="D277" s="238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237" t="s">
        <v>86</v>
      </c>
      <c r="D278" s="238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26" t="s">
        <v>88</v>
      </c>
      <c r="D279" s="226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26" t="s">
        <v>88</v>
      </c>
      <c r="D280" s="226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26" t="s">
        <v>88</v>
      </c>
      <c r="D281" s="226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26" t="s">
        <v>88</v>
      </c>
      <c r="D282" s="226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237" t="s">
        <v>90</v>
      </c>
      <c r="D283" s="238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26" t="s">
        <v>91</v>
      </c>
      <c r="D284" s="226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26" t="s">
        <v>93</v>
      </c>
      <c r="D285" s="226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26" t="s">
        <v>95</v>
      </c>
      <c r="D286" s="226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26" t="s">
        <v>93</v>
      </c>
      <c r="D287" s="226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26" t="s">
        <v>98</v>
      </c>
      <c r="D288" s="226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26" t="s">
        <v>98</v>
      </c>
      <c r="D289" s="226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26" t="s">
        <v>98</v>
      </c>
      <c r="D290" s="226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26" t="s">
        <v>98</v>
      </c>
      <c r="D291" s="226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26" t="s">
        <v>100</v>
      </c>
      <c r="D293" s="226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26" t="s">
        <v>100</v>
      </c>
      <c r="D294" s="226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26" t="s">
        <v>100</v>
      </c>
      <c r="D295" s="226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26" t="s">
        <v>100</v>
      </c>
      <c r="D296" s="226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26" t="s">
        <v>106</v>
      </c>
      <c r="D297" s="226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26" t="s">
        <v>106</v>
      </c>
      <c r="D298" s="226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26" t="s">
        <v>106</v>
      </c>
      <c r="D299" s="226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26" t="s">
        <v>106</v>
      </c>
      <c r="D300" s="226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26" t="s">
        <v>107</v>
      </c>
      <c r="D301" s="226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26" t="s">
        <v>107</v>
      </c>
      <c r="D302" s="226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26" t="s">
        <v>107</v>
      </c>
      <c r="D303" s="226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26" t="s">
        <v>107</v>
      </c>
      <c r="D304" s="226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26" t="s">
        <v>107</v>
      </c>
      <c r="D305" s="226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237" t="s">
        <v>109</v>
      </c>
      <c r="D306" s="238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26" t="s">
        <v>110</v>
      </c>
      <c r="D307" s="226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26" t="s">
        <v>110</v>
      </c>
      <c r="D308" s="226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26" t="s">
        <v>112</v>
      </c>
      <c r="D309" s="226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26" t="s">
        <v>112</v>
      </c>
      <c r="D310" s="226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26" t="s">
        <v>112</v>
      </c>
      <c r="D311" s="226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237" t="s">
        <v>296</v>
      </c>
      <c r="D312" s="238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237" t="s">
        <v>296</v>
      </c>
      <c r="D313" s="238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237" t="s">
        <v>296</v>
      </c>
      <c r="D314" s="238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237" t="s">
        <v>114</v>
      </c>
      <c r="D315" s="238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237" t="s">
        <v>114</v>
      </c>
      <c r="D316" s="238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26" t="s">
        <v>119</v>
      </c>
      <c r="D320" s="226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26" t="s">
        <v>119</v>
      </c>
      <c r="D321" s="226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239" t="s">
        <v>121</v>
      </c>
      <c r="D322" s="239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239" t="s">
        <v>121</v>
      </c>
      <c r="D323" s="239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239" t="s">
        <v>121</v>
      </c>
      <c r="D324" s="239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26" t="s">
        <v>123</v>
      </c>
      <c r="D325" s="226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26" t="s">
        <v>125</v>
      </c>
      <c r="D326" s="226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26" t="s">
        <v>123</v>
      </c>
      <c r="D327" s="226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26" t="s">
        <v>123</v>
      </c>
      <c r="D328" s="226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26" t="s">
        <v>123</v>
      </c>
      <c r="D329" s="226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26" t="s">
        <v>127</v>
      </c>
      <c r="D330" s="226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26" t="s">
        <v>127</v>
      </c>
      <c r="D331" s="226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26" t="s">
        <v>127</v>
      </c>
      <c r="D332" s="226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26" t="s">
        <v>127</v>
      </c>
      <c r="D333" s="226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26" t="s">
        <v>127</v>
      </c>
      <c r="D334" s="226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26" t="s">
        <v>128</v>
      </c>
      <c r="D335" s="226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26" t="s">
        <v>128</v>
      </c>
      <c r="D336" s="226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26" t="s">
        <v>128</v>
      </c>
      <c r="D337" s="226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26" t="s">
        <v>128</v>
      </c>
      <c r="D338" s="226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237" t="s">
        <v>129</v>
      </c>
      <c r="D339" s="238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237" t="s">
        <v>129</v>
      </c>
      <c r="D340" s="238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26" t="s">
        <v>130</v>
      </c>
      <c r="D341" s="226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26" t="s">
        <v>130</v>
      </c>
      <c r="D342" s="226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26" t="s">
        <v>130</v>
      </c>
      <c r="D343" s="226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26" t="s">
        <v>130</v>
      </c>
      <c r="D344" s="226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26" t="s">
        <v>130</v>
      </c>
      <c r="D345" s="226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26" t="s">
        <v>134</v>
      </c>
      <c r="D346" s="226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26" t="s">
        <v>134</v>
      </c>
      <c r="D347" s="226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237" t="s">
        <v>137</v>
      </c>
      <c r="D348" s="238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237" t="s">
        <v>137</v>
      </c>
      <c r="D349" s="238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26" t="s">
        <v>139</v>
      </c>
      <c r="D350" s="226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26" t="s">
        <v>141</v>
      </c>
      <c r="D351" s="226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26" t="s">
        <v>143</v>
      </c>
      <c r="D352" s="226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26" t="s">
        <v>143</v>
      </c>
      <c r="D353" s="226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26" t="s">
        <v>143</v>
      </c>
      <c r="D354" s="226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26" t="s">
        <v>145</v>
      </c>
      <c r="D355" s="226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26" t="s">
        <v>145</v>
      </c>
      <c r="D356" s="226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26" t="s">
        <v>145</v>
      </c>
      <c r="D357" s="226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26" t="s">
        <v>145</v>
      </c>
      <c r="D358" s="226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237" t="s">
        <v>148</v>
      </c>
      <c r="D359" s="238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237" t="s">
        <v>148</v>
      </c>
      <c r="D360" s="238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237" t="s">
        <v>148</v>
      </c>
      <c r="D361" s="238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237" t="s">
        <v>150</v>
      </c>
      <c r="D362" s="238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237" t="s">
        <v>150</v>
      </c>
      <c r="D363" s="238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237" t="s">
        <v>150</v>
      </c>
      <c r="D364" s="238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237" t="s">
        <v>150</v>
      </c>
      <c r="D365" s="238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237" t="s">
        <v>153</v>
      </c>
      <c r="D366" s="238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237" t="s">
        <v>153</v>
      </c>
      <c r="D367" s="238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237" t="s">
        <v>153</v>
      </c>
      <c r="D368" s="238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237" t="s">
        <v>153</v>
      </c>
      <c r="D369" s="238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44" t="s">
        <v>154</v>
      </c>
      <c r="D370" s="245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44" t="s">
        <v>154</v>
      </c>
      <c r="D371" s="245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44" t="s">
        <v>154</v>
      </c>
      <c r="D372" s="245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44" t="s">
        <v>154</v>
      </c>
      <c r="D373" s="245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44" t="s">
        <v>155</v>
      </c>
      <c r="D374" s="245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44" t="s">
        <v>155</v>
      </c>
      <c r="D375" s="245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44" t="s">
        <v>155</v>
      </c>
      <c r="D376" s="245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26" t="s">
        <v>156</v>
      </c>
      <c r="D377" s="226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26" t="s">
        <v>157</v>
      </c>
      <c r="D378" s="226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26" t="s">
        <v>157</v>
      </c>
      <c r="D379" s="226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26" t="s">
        <v>159</v>
      </c>
      <c r="D380" s="226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26" t="s">
        <v>159</v>
      </c>
      <c r="D381" s="226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26" t="s">
        <v>159</v>
      </c>
      <c r="D382" s="226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26" t="s">
        <v>159</v>
      </c>
      <c r="D383" s="226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26" t="s">
        <v>161</v>
      </c>
      <c r="D384" s="226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26" t="s">
        <v>161</v>
      </c>
      <c r="D385" s="226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26" t="s">
        <v>162</v>
      </c>
      <c r="D386" s="226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26" t="s">
        <v>162</v>
      </c>
      <c r="D387" s="226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26" t="s">
        <v>162</v>
      </c>
      <c r="D388" s="226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26" t="s">
        <v>162</v>
      </c>
      <c r="D389" s="226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26" t="s">
        <v>165</v>
      </c>
      <c r="D390" s="226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26" t="s">
        <v>165</v>
      </c>
      <c r="D391" s="226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26" t="s">
        <v>165</v>
      </c>
      <c r="D392" s="226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26" t="s">
        <v>165</v>
      </c>
      <c r="D393" s="226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26" t="s">
        <v>165</v>
      </c>
      <c r="D394" s="226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26" t="s">
        <v>165</v>
      </c>
      <c r="D395" s="226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240" t="s">
        <v>168</v>
      </c>
      <c r="D396" s="241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240" t="s">
        <v>168</v>
      </c>
      <c r="D397" s="241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237" t="s">
        <v>168</v>
      </c>
      <c r="D398" s="238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237" t="s">
        <v>168</v>
      </c>
      <c r="D399" s="238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26" t="s">
        <v>312</v>
      </c>
      <c r="D400" s="226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26" t="s">
        <v>312</v>
      </c>
      <c r="D401" s="226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26" t="s">
        <v>312</v>
      </c>
      <c r="D402" s="226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26" t="s">
        <v>312</v>
      </c>
      <c r="D403" s="226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237" t="s">
        <v>172</v>
      </c>
      <c r="D404" s="238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237" t="s">
        <v>172</v>
      </c>
      <c r="D405" s="238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237" t="s">
        <v>172</v>
      </c>
      <c r="D406" s="238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237" t="s">
        <v>172</v>
      </c>
      <c r="D407" s="238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59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59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59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9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34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36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30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90" t="s">
        <v>25</v>
      </c>
      <c r="S5" s="227"/>
      <c r="T5" s="229"/>
      <c r="U5" s="229"/>
      <c r="V5" s="231"/>
      <c r="W5" s="190" t="s">
        <v>26</v>
      </c>
      <c r="X5" s="18" t="s">
        <v>27</v>
      </c>
      <c r="Y5" s="18" t="s">
        <v>28</v>
      </c>
      <c r="Z5" s="190" t="s">
        <v>29</v>
      </c>
      <c r="AA5" s="18" t="s">
        <v>30</v>
      </c>
      <c r="AB5" s="18" t="s">
        <v>31</v>
      </c>
      <c r="AC5" s="190" t="s">
        <v>32</v>
      </c>
    </row>
    <row r="6" spans="1:29" ht="21.95" customHeight="1">
      <c r="A6" s="195">
        <v>300320</v>
      </c>
      <c r="B6" s="190" t="s">
        <v>33</v>
      </c>
      <c r="C6" s="239" t="s">
        <v>34</v>
      </c>
      <c r="D6" s="239"/>
      <c r="E6" s="194" t="s">
        <v>35</v>
      </c>
      <c r="F6" s="13"/>
      <c r="G6" s="110"/>
      <c r="H6" s="110"/>
      <c r="I6" s="110"/>
      <c r="J6" s="110"/>
      <c r="K6" s="192">
        <f t="shared" ref="K6:K76" si="0">G6*M6</f>
        <v>0</v>
      </c>
      <c r="L6" s="192">
        <f t="shared" ref="L6:L76" si="1">I6*M6</f>
        <v>0</v>
      </c>
      <c r="M6" s="192">
        <v>633.6</v>
      </c>
      <c r="N6" s="192">
        <f>+M6*1000/(28.3*10*40*60)*T6</f>
        <v>4.6643109540636036</v>
      </c>
      <c r="O6" s="192"/>
      <c r="P6" s="192">
        <f t="shared" ref="P6:P76" si="2">N6*I6+O6*U6</f>
        <v>0</v>
      </c>
      <c r="Q6" s="192"/>
      <c r="R6" s="19">
        <f t="shared" ref="R6:R76" si="3">Q6*U6</f>
        <v>0</v>
      </c>
      <c r="S6" s="192">
        <f t="shared" ref="S6:S76" si="4">R6-P6</f>
        <v>0</v>
      </c>
      <c r="T6" s="20">
        <v>5</v>
      </c>
      <c r="U6" s="20"/>
      <c r="V6" s="198" t="str">
        <f t="array" ref="V6">IF(ISERROR(L6/K6),"",L6/K6)</f>
        <v/>
      </c>
      <c r="W6" s="20"/>
      <c r="X6" s="190"/>
      <c r="Y6" s="190"/>
      <c r="Z6" s="196"/>
      <c r="AA6" s="20"/>
      <c r="AB6" s="20"/>
      <c r="AC6" s="20"/>
    </row>
    <row r="7" spans="1:29" ht="21.95" customHeight="1">
      <c r="A7" s="195">
        <v>300318</v>
      </c>
      <c r="B7" s="190" t="s">
        <v>33</v>
      </c>
      <c r="C7" s="239" t="s">
        <v>34</v>
      </c>
      <c r="D7" s="239"/>
      <c r="E7" s="194" t="s">
        <v>36</v>
      </c>
      <c r="F7" s="13"/>
      <c r="G7" s="110"/>
      <c r="H7" s="110"/>
      <c r="I7" s="110"/>
      <c r="J7" s="110"/>
      <c r="K7" s="192">
        <f t="shared" si="0"/>
        <v>0</v>
      </c>
      <c r="L7" s="192">
        <f t="shared" si="1"/>
        <v>0</v>
      </c>
      <c r="M7" s="192">
        <v>633.6</v>
      </c>
      <c r="N7" s="192">
        <f t="shared" ref="N7:N13" si="5">+M7*1000/(28.3*10*40*60)*T7</f>
        <v>4.6643109540636036</v>
      </c>
      <c r="O7" s="192"/>
      <c r="P7" s="192">
        <f t="shared" si="2"/>
        <v>0</v>
      </c>
      <c r="Q7" s="192"/>
      <c r="R7" s="19">
        <f t="shared" si="3"/>
        <v>0</v>
      </c>
      <c r="S7" s="192">
        <f t="shared" si="4"/>
        <v>0</v>
      </c>
      <c r="T7" s="20">
        <v>5</v>
      </c>
      <c r="U7" s="20"/>
      <c r="V7" s="198" t="str">
        <f t="array" ref="V7">IF(ISERROR(L7/K7),"",L7/K7)</f>
        <v/>
      </c>
      <c r="W7" s="20"/>
      <c r="X7" s="190"/>
      <c r="Y7" s="190"/>
      <c r="Z7" s="196"/>
      <c r="AA7" s="20"/>
      <c r="AB7" s="20"/>
      <c r="AC7" s="20"/>
    </row>
    <row r="8" spans="1:29" ht="21.95" customHeight="1">
      <c r="A8" s="195">
        <v>300319</v>
      </c>
      <c r="B8" s="190" t="s">
        <v>33</v>
      </c>
      <c r="C8" s="239" t="s">
        <v>34</v>
      </c>
      <c r="D8" s="239"/>
      <c r="E8" s="194" t="s">
        <v>37</v>
      </c>
      <c r="F8" s="13"/>
      <c r="G8" s="110"/>
      <c r="H8" s="110"/>
      <c r="I8" s="110"/>
      <c r="J8" s="110"/>
      <c r="K8" s="192">
        <f t="shared" si="0"/>
        <v>0</v>
      </c>
      <c r="L8" s="192">
        <f t="shared" si="1"/>
        <v>0</v>
      </c>
      <c r="M8" s="192">
        <v>633.6</v>
      </c>
      <c r="N8" s="192">
        <f t="shared" si="5"/>
        <v>4.6643109540636036</v>
      </c>
      <c r="O8" s="192"/>
      <c r="P8" s="192">
        <f t="shared" si="2"/>
        <v>0</v>
      </c>
      <c r="Q8" s="192"/>
      <c r="R8" s="19">
        <f t="shared" si="3"/>
        <v>0</v>
      </c>
      <c r="S8" s="192">
        <f t="shared" si="4"/>
        <v>0</v>
      </c>
      <c r="T8" s="20">
        <v>5</v>
      </c>
      <c r="U8" s="20"/>
      <c r="V8" s="198" t="str">
        <f t="array" ref="V8">IF(ISERROR(L8/K8),"",L8/K8)</f>
        <v/>
      </c>
      <c r="W8" s="20"/>
      <c r="X8" s="190"/>
      <c r="Y8" s="190"/>
      <c r="Z8" s="196"/>
      <c r="AA8" s="20"/>
      <c r="AB8" s="20"/>
      <c r="AC8" s="20"/>
    </row>
    <row r="9" spans="1:29" ht="21.95" customHeight="1">
      <c r="A9" s="195">
        <v>300316</v>
      </c>
      <c r="B9" s="190" t="s">
        <v>33</v>
      </c>
      <c r="C9" s="239" t="s">
        <v>34</v>
      </c>
      <c r="D9" s="239"/>
      <c r="E9" s="194" t="s">
        <v>38</v>
      </c>
      <c r="F9" s="13"/>
      <c r="G9" s="110"/>
      <c r="H9" s="110"/>
      <c r="I9" s="110"/>
      <c r="J9" s="110"/>
      <c r="K9" s="192">
        <f t="shared" si="0"/>
        <v>0</v>
      </c>
      <c r="L9" s="192">
        <f t="shared" si="1"/>
        <v>0</v>
      </c>
      <c r="M9" s="192">
        <v>616</v>
      </c>
      <c r="N9" s="192">
        <f t="shared" si="5"/>
        <v>4.534746760895171</v>
      </c>
      <c r="O9" s="192"/>
      <c r="P9" s="192">
        <f t="shared" si="2"/>
        <v>0</v>
      </c>
      <c r="Q9" s="192"/>
      <c r="R9" s="19">
        <f t="shared" si="3"/>
        <v>0</v>
      </c>
      <c r="S9" s="192">
        <f t="shared" si="4"/>
        <v>0</v>
      </c>
      <c r="T9" s="20">
        <v>5</v>
      </c>
      <c r="U9" s="20"/>
      <c r="V9" s="198"/>
      <c r="W9" s="20"/>
      <c r="X9" s="190"/>
      <c r="Y9" s="190"/>
      <c r="Z9" s="196"/>
      <c r="AA9" s="20"/>
      <c r="AB9" s="20"/>
      <c r="AC9" s="20"/>
    </row>
    <row r="10" spans="1:29" ht="21.95" customHeight="1">
      <c r="A10" s="195">
        <v>300317</v>
      </c>
      <c r="B10" s="190" t="s">
        <v>33</v>
      </c>
      <c r="C10" s="226" t="s">
        <v>34</v>
      </c>
      <c r="D10" s="226"/>
      <c r="E10" s="194" t="s">
        <v>39</v>
      </c>
      <c r="F10" s="13"/>
      <c r="G10" s="110"/>
      <c r="H10" s="110"/>
      <c r="I10" s="110"/>
      <c r="J10" s="110"/>
      <c r="K10" s="192">
        <f t="shared" si="0"/>
        <v>0</v>
      </c>
      <c r="L10" s="192">
        <f t="shared" si="1"/>
        <v>0</v>
      </c>
      <c r="M10" s="192">
        <v>616</v>
      </c>
      <c r="N10" s="192">
        <f t="shared" si="5"/>
        <v>4.534746760895171</v>
      </c>
      <c r="O10" s="192"/>
      <c r="P10" s="192">
        <f t="shared" si="2"/>
        <v>0</v>
      </c>
      <c r="Q10" s="192"/>
      <c r="R10" s="19">
        <f t="shared" si="3"/>
        <v>0</v>
      </c>
      <c r="S10" s="192">
        <f t="shared" si="4"/>
        <v>0</v>
      </c>
      <c r="T10" s="20">
        <v>5</v>
      </c>
      <c r="U10" s="20"/>
      <c r="V10" s="198"/>
      <c r="W10" s="20"/>
      <c r="X10" s="190"/>
      <c r="Y10" s="190"/>
      <c r="Z10" s="196"/>
      <c r="AA10" s="20"/>
      <c r="AB10" s="20"/>
      <c r="AC10" s="20"/>
    </row>
    <row r="11" spans="1:29" ht="21.95" customHeight="1">
      <c r="A11" s="195">
        <v>300315</v>
      </c>
      <c r="B11" s="190" t="s">
        <v>33</v>
      </c>
      <c r="C11" s="226" t="s">
        <v>34</v>
      </c>
      <c r="D11" s="226"/>
      <c r="E11" s="194" t="s">
        <v>40</v>
      </c>
      <c r="F11" s="13"/>
      <c r="G11" s="110"/>
      <c r="H11" s="110"/>
      <c r="I11" s="110"/>
      <c r="J11" s="110"/>
      <c r="K11" s="192">
        <f t="shared" si="0"/>
        <v>0</v>
      </c>
      <c r="L11" s="192">
        <f t="shared" si="1"/>
        <v>0</v>
      </c>
      <c r="M11" s="192">
        <v>616</v>
      </c>
      <c r="N11" s="192">
        <f t="shared" si="5"/>
        <v>4.534746760895171</v>
      </c>
      <c r="O11" s="192"/>
      <c r="P11" s="192">
        <f t="shared" si="2"/>
        <v>0</v>
      </c>
      <c r="Q11" s="192"/>
      <c r="R11" s="19">
        <f t="shared" si="3"/>
        <v>0</v>
      </c>
      <c r="S11" s="192">
        <f t="shared" si="4"/>
        <v>0</v>
      </c>
      <c r="T11" s="20">
        <v>5</v>
      </c>
      <c r="U11" s="20"/>
      <c r="V11" s="198" t="str">
        <f t="array" ref="V11">IF(ISERROR(L11/K11),"",L11/K11)</f>
        <v/>
      </c>
      <c r="W11" s="20"/>
      <c r="X11" s="190"/>
      <c r="Y11" s="190"/>
      <c r="Z11" s="196"/>
      <c r="AA11" s="20"/>
      <c r="AB11" s="20"/>
      <c r="AC11" s="20"/>
    </row>
    <row r="12" spans="1:29" ht="21.95" customHeight="1">
      <c r="A12" s="195">
        <v>300314</v>
      </c>
      <c r="B12" s="190" t="s">
        <v>33</v>
      </c>
      <c r="C12" s="226" t="s">
        <v>34</v>
      </c>
      <c r="D12" s="226"/>
      <c r="E12" s="194" t="s">
        <v>41</v>
      </c>
      <c r="F12" s="13"/>
      <c r="G12" s="110"/>
      <c r="H12" s="110"/>
      <c r="I12" s="110"/>
      <c r="J12" s="110"/>
      <c r="K12" s="192">
        <f t="shared" si="0"/>
        <v>0</v>
      </c>
      <c r="L12" s="192">
        <f t="shared" si="1"/>
        <v>0</v>
      </c>
      <c r="M12" s="192">
        <v>616</v>
      </c>
      <c r="N12" s="192">
        <f t="shared" si="5"/>
        <v>4.534746760895171</v>
      </c>
      <c r="O12" s="192"/>
      <c r="P12" s="192">
        <f t="shared" si="2"/>
        <v>0</v>
      </c>
      <c r="Q12" s="192"/>
      <c r="R12" s="19">
        <f t="shared" si="3"/>
        <v>0</v>
      </c>
      <c r="S12" s="192">
        <f t="shared" si="4"/>
        <v>0</v>
      </c>
      <c r="T12" s="20">
        <v>5</v>
      </c>
      <c r="U12" s="20"/>
      <c r="V12" s="198" t="str">
        <f t="array" ref="V12">IF(ISERROR(L12/K12),"",L12/K12)</f>
        <v/>
      </c>
      <c r="W12" s="20"/>
      <c r="X12" s="190"/>
      <c r="Y12" s="190"/>
      <c r="Z12" s="196"/>
      <c r="AA12" s="20"/>
      <c r="AB12" s="20"/>
      <c r="AC12" s="20"/>
    </row>
    <row r="13" spans="1:29" ht="21.95" customHeight="1">
      <c r="A13" s="195">
        <v>300313</v>
      </c>
      <c r="B13" s="190" t="s">
        <v>33</v>
      </c>
      <c r="C13" s="226" t="s">
        <v>34</v>
      </c>
      <c r="D13" s="226"/>
      <c r="E13" s="194" t="s">
        <v>42</v>
      </c>
      <c r="F13" s="13"/>
      <c r="G13" s="110"/>
      <c r="H13" s="110"/>
      <c r="I13" s="110"/>
      <c r="J13" s="110"/>
      <c r="K13" s="192">
        <f t="shared" si="0"/>
        <v>0</v>
      </c>
      <c r="L13" s="192">
        <f t="shared" si="1"/>
        <v>0</v>
      </c>
      <c r="M13" s="192">
        <v>616</v>
      </c>
      <c r="N13" s="192">
        <f t="shared" si="5"/>
        <v>4.534746760895171</v>
      </c>
      <c r="O13" s="192"/>
      <c r="P13" s="192">
        <f t="shared" si="2"/>
        <v>0</v>
      </c>
      <c r="Q13" s="192"/>
      <c r="R13" s="19">
        <f t="shared" si="3"/>
        <v>0</v>
      </c>
      <c r="S13" s="192">
        <f t="shared" si="4"/>
        <v>0</v>
      </c>
      <c r="T13" s="20">
        <v>5</v>
      </c>
      <c r="U13" s="20"/>
      <c r="V13" s="198" t="str">
        <f t="array" ref="V13">IF(ISERROR(L13/K13),"",L13/K13)</f>
        <v/>
      </c>
      <c r="W13" s="20"/>
      <c r="X13" s="190"/>
      <c r="Y13" s="190"/>
      <c r="Z13" s="196"/>
      <c r="AA13" s="20"/>
      <c r="AB13" s="20"/>
      <c r="AC13" s="20"/>
    </row>
    <row r="14" spans="1:29" ht="21.95" customHeight="1">
      <c r="A14" s="195"/>
      <c r="B14" s="190" t="s">
        <v>43</v>
      </c>
      <c r="C14" s="237" t="s">
        <v>313</v>
      </c>
      <c r="D14" s="238"/>
      <c r="E14" s="194" t="s">
        <v>314</v>
      </c>
      <c r="F14" s="13"/>
      <c r="G14" s="110"/>
      <c r="H14" s="110"/>
      <c r="I14" s="110"/>
      <c r="J14" s="110"/>
      <c r="K14" s="192">
        <f t="shared" si="0"/>
        <v>0</v>
      </c>
      <c r="L14" s="192">
        <f t="shared" si="1"/>
        <v>0</v>
      </c>
      <c r="M14" s="192">
        <v>213.4</v>
      </c>
      <c r="N14" s="192">
        <f>+M14*1000/(15.4*10*17*60)*T14</f>
        <v>4.0756302521008401</v>
      </c>
      <c r="O14" s="192"/>
      <c r="P14" s="192">
        <f t="shared" si="2"/>
        <v>0</v>
      </c>
      <c r="Q14" s="192"/>
      <c r="R14" s="19">
        <f t="shared" si="3"/>
        <v>0</v>
      </c>
      <c r="S14" s="192">
        <f t="shared" si="4"/>
        <v>0</v>
      </c>
      <c r="T14" s="20">
        <v>3</v>
      </c>
      <c r="U14" s="20"/>
      <c r="V14" s="198"/>
      <c r="W14" s="20"/>
      <c r="X14" s="190"/>
      <c r="Y14" s="190"/>
      <c r="Z14" s="196"/>
      <c r="AA14" s="20"/>
      <c r="AB14" s="20"/>
      <c r="AC14" s="20"/>
    </row>
    <row r="15" spans="1:29" ht="21.95" customHeight="1">
      <c r="A15" s="195"/>
      <c r="B15" s="190" t="s">
        <v>43</v>
      </c>
      <c r="C15" s="237" t="s">
        <v>313</v>
      </c>
      <c r="D15" s="238"/>
      <c r="E15" s="194" t="s">
        <v>315</v>
      </c>
      <c r="F15" s="13"/>
      <c r="G15" s="110"/>
      <c r="H15" s="110"/>
      <c r="I15" s="110"/>
      <c r="J15" s="110"/>
      <c r="K15" s="192">
        <f t="shared" si="0"/>
        <v>0</v>
      </c>
      <c r="L15" s="192">
        <f t="shared" si="1"/>
        <v>0</v>
      </c>
      <c r="M15" s="192">
        <v>213.4</v>
      </c>
      <c r="N15" s="192">
        <f>+M15*1000/(15.4*10*17*60)*T15</f>
        <v>4.0756302521008401</v>
      </c>
      <c r="O15" s="192"/>
      <c r="P15" s="192">
        <f t="shared" si="2"/>
        <v>0</v>
      </c>
      <c r="Q15" s="192"/>
      <c r="R15" s="19">
        <f t="shared" si="3"/>
        <v>0</v>
      </c>
      <c r="S15" s="192">
        <f t="shared" si="4"/>
        <v>0</v>
      </c>
      <c r="T15" s="20">
        <v>3</v>
      </c>
      <c r="U15" s="20"/>
      <c r="V15" s="198"/>
      <c r="W15" s="20"/>
      <c r="X15" s="190"/>
      <c r="Y15" s="190"/>
      <c r="Z15" s="196"/>
      <c r="AA15" s="20"/>
      <c r="AB15" s="20"/>
      <c r="AC15" s="20"/>
    </row>
    <row r="16" spans="1:29" ht="21" customHeight="1">
      <c r="A16" s="190">
        <v>300202</v>
      </c>
      <c r="B16" s="190" t="s">
        <v>43</v>
      </c>
      <c r="C16" s="237" t="s">
        <v>44</v>
      </c>
      <c r="D16" s="238"/>
      <c r="E16" s="190" t="s">
        <v>35</v>
      </c>
      <c r="F16" s="13"/>
      <c r="G16" s="110"/>
      <c r="H16" s="110"/>
      <c r="I16" s="110"/>
      <c r="J16" s="110"/>
      <c r="K16" s="192">
        <f t="shared" si="0"/>
        <v>0</v>
      </c>
      <c r="L16" s="192">
        <f t="shared" si="1"/>
        <v>0</v>
      </c>
      <c r="M16" s="192">
        <v>212.4</v>
      </c>
      <c r="N16" s="192">
        <f>+M16*1000/(15.4*10*17*60)*T16</f>
        <v>4.0565317035905268</v>
      </c>
      <c r="O16" s="192"/>
      <c r="P16" s="192">
        <f t="shared" si="2"/>
        <v>0</v>
      </c>
      <c r="Q16" s="192"/>
      <c r="R16" s="19">
        <f t="shared" si="3"/>
        <v>0</v>
      </c>
      <c r="S16" s="192">
        <f t="shared" si="4"/>
        <v>0</v>
      </c>
      <c r="T16" s="20">
        <v>3</v>
      </c>
      <c r="U16" s="20"/>
      <c r="V16" s="19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90">
        <v>300203</v>
      </c>
      <c r="B17" s="190" t="s">
        <v>43</v>
      </c>
      <c r="C17" s="237" t="s">
        <v>44</v>
      </c>
      <c r="D17" s="238"/>
      <c r="E17" s="190" t="s">
        <v>41</v>
      </c>
      <c r="F17" s="13"/>
      <c r="G17" s="110"/>
      <c r="H17" s="110"/>
      <c r="I17" s="110"/>
      <c r="J17" s="110"/>
      <c r="K17" s="192">
        <f t="shared" si="0"/>
        <v>0</v>
      </c>
      <c r="L17" s="192">
        <f t="shared" si="1"/>
        <v>0</v>
      </c>
      <c r="M17" s="192">
        <v>212.4</v>
      </c>
      <c r="N17" s="192">
        <f>+M17*1000/(15.4*10*17*60)*T17</f>
        <v>4.0565317035905268</v>
      </c>
      <c r="O17" s="192"/>
      <c r="P17" s="192">
        <f t="shared" si="2"/>
        <v>0</v>
      </c>
      <c r="Q17" s="192"/>
      <c r="R17" s="19">
        <f t="shared" si="3"/>
        <v>0</v>
      </c>
      <c r="S17" s="192">
        <f t="shared" si="4"/>
        <v>0</v>
      </c>
      <c r="T17" s="20">
        <v>3</v>
      </c>
      <c r="U17" s="20"/>
      <c r="V17" s="19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90">
        <v>300204</v>
      </c>
      <c r="B18" s="190" t="s">
        <v>43</v>
      </c>
      <c r="C18" s="237" t="s">
        <v>44</v>
      </c>
      <c r="D18" s="238"/>
      <c r="E18" s="190" t="s">
        <v>37</v>
      </c>
      <c r="F18" s="13"/>
      <c r="G18" s="110"/>
      <c r="H18" s="110"/>
      <c r="I18" s="110"/>
      <c r="J18" s="110"/>
      <c r="K18" s="192">
        <f t="shared" si="0"/>
        <v>0</v>
      </c>
      <c r="L18" s="192">
        <f t="shared" si="1"/>
        <v>0</v>
      </c>
      <c r="M18" s="192">
        <v>212.4</v>
      </c>
      <c r="N18" s="192">
        <f>+M18*1000/(15.4*10*17*60)*T18</f>
        <v>4.0565317035905268</v>
      </c>
      <c r="O18" s="192"/>
      <c r="P18" s="192">
        <f t="shared" si="2"/>
        <v>0</v>
      </c>
      <c r="Q18" s="192"/>
      <c r="R18" s="19">
        <f t="shared" si="3"/>
        <v>0</v>
      </c>
      <c r="S18" s="192">
        <f t="shared" si="4"/>
        <v>0</v>
      </c>
      <c r="T18" s="20">
        <v>3</v>
      </c>
      <c r="U18" s="20"/>
      <c r="V18" s="19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95">
        <v>300269</v>
      </c>
      <c r="B19" s="190" t="s">
        <v>43</v>
      </c>
      <c r="C19" s="226" t="s">
        <v>45</v>
      </c>
      <c r="D19" s="226"/>
      <c r="E19" s="194"/>
      <c r="F19" s="13"/>
      <c r="G19" s="110"/>
      <c r="H19" s="110"/>
      <c r="I19" s="110"/>
      <c r="J19" s="110"/>
      <c r="K19" s="192">
        <f t="shared" si="0"/>
        <v>0</v>
      </c>
      <c r="L19" s="192">
        <f t="shared" si="1"/>
        <v>0</v>
      </c>
      <c r="M19" s="192">
        <v>209.4</v>
      </c>
      <c r="N19" s="192">
        <f>+M19*1000/(19.4*10*16*60)*T19</f>
        <v>3.3730670103092786</v>
      </c>
      <c r="O19" s="192"/>
      <c r="P19" s="192">
        <f t="shared" si="2"/>
        <v>0</v>
      </c>
      <c r="Q19" s="192"/>
      <c r="R19" s="19">
        <f t="shared" si="3"/>
        <v>0</v>
      </c>
      <c r="S19" s="192">
        <f t="shared" si="4"/>
        <v>0</v>
      </c>
      <c r="T19" s="20">
        <v>3</v>
      </c>
      <c r="U19" s="20"/>
      <c r="V19" s="19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95"/>
      <c r="B20" s="190"/>
      <c r="C20" s="226" t="s">
        <v>46</v>
      </c>
      <c r="D20" s="226"/>
      <c r="E20" s="194" t="s">
        <v>47</v>
      </c>
      <c r="F20" s="13"/>
      <c r="G20" s="110"/>
      <c r="H20" s="110"/>
      <c r="I20" s="110"/>
      <c r="J20" s="110"/>
      <c r="K20" s="192">
        <f t="shared" si="0"/>
        <v>0</v>
      </c>
      <c r="L20" s="192">
        <f t="shared" si="1"/>
        <v>0</v>
      </c>
      <c r="M20" s="192">
        <v>209.9</v>
      </c>
      <c r="N20" s="192">
        <f>+M20*1000/(19*10*16*60)*T20</f>
        <v>3.4523026315789478</v>
      </c>
      <c r="O20" s="192"/>
      <c r="P20" s="192">
        <f t="shared" si="2"/>
        <v>0</v>
      </c>
      <c r="Q20" s="192"/>
      <c r="R20" s="19">
        <f t="shared" si="3"/>
        <v>0</v>
      </c>
      <c r="S20" s="192">
        <f t="shared" si="4"/>
        <v>0</v>
      </c>
      <c r="T20" s="20">
        <v>3</v>
      </c>
      <c r="U20" s="20"/>
      <c r="V20" s="19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95">
        <v>300350</v>
      </c>
      <c r="B21" s="190" t="s">
        <v>43</v>
      </c>
      <c r="C21" s="226" t="s">
        <v>48</v>
      </c>
      <c r="D21" s="226"/>
      <c r="E21" s="194" t="s">
        <v>49</v>
      </c>
      <c r="F21" s="13"/>
      <c r="G21" s="110"/>
      <c r="H21" s="110"/>
      <c r="I21" s="110"/>
      <c r="J21" s="110"/>
      <c r="K21" s="192">
        <f t="shared" si="0"/>
        <v>0</v>
      </c>
      <c r="L21" s="192">
        <f t="shared" si="1"/>
        <v>0</v>
      </c>
      <c r="M21" s="192">
        <v>209.9</v>
      </c>
      <c r="N21" s="192">
        <f>+M21*1000/(19*10*16*60)*T21</f>
        <v>2.3015350877192984</v>
      </c>
      <c r="O21" s="192"/>
      <c r="P21" s="192">
        <f t="shared" si="2"/>
        <v>0</v>
      </c>
      <c r="Q21" s="192"/>
      <c r="R21" s="19">
        <f t="shared" si="3"/>
        <v>0</v>
      </c>
      <c r="S21" s="192">
        <f t="shared" si="4"/>
        <v>0</v>
      </c>
      <c r="T21" s="20">
        <v>2</v>
      </c>
      <c r="U21" s="20"/>
      <c r="V21" s="19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95">
        <v>300113</v>
      </c>
      <c r="B22" s="190" t="s">
        <v>43</v>
      </c>
      <c r="C22" s="226" t="s">
        <v>50</v>
      </c>
      <c r="D22" s="226"/>
      <c r="E22" s="194" t="s">
        <v>40</v>
      </c>
      <c r="F22" s="13"/>
      <c r="G22" s="110"/>
      <c r="H22" s="110"/>
      <c r="I22" s="110"/>
      <c r="J22" s="110"/>
      <c r="K22" s="192">
        <f t="shared" si="0"/>
        <v>0</v>
      </c>
      <c r="L22" s="192">
        <f t="shared" si="1"/>
        <v>0</v>
      </c>
      <c r="M22" s="192">
        <v>210</v>
      </c>
      <c r="N22" s="192">
        <f>M22*1000/(19.2*10*17*60)*T22</f>
        <v>2.1446078431372548</v>
      </c>
      <c r="O22" s="192"/>
      <c r="P22" s="192">
        <f t="shared" si="2"/>
        <v>0</v>
      </c>
      <c r="Q22" s="192"/>
      <c r="R22" s="19">
        <f t="shared" si="3"/>
        <v>0</v>
      </c>
      <c r="S22" s="192">
        <f t="shared" si="4"/>
        <v>0</v>
      </c>
      <c r="T22" s="20">
        <v>2</v>
      </c>
      <c r="U22" s="20"/>
      <c r="V22" s="19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95">
        <v>300114</v>
      </c>
      <c r="B23" s="190" t="s">
        <v>43</v>
      </c>
      <c r="C23" s="226" t="s">
        <v>50</v>
      </c>
      <c r="D23" s="226"/>
      <c r="E23" s="194" t="s">
        <v>42</v>
      </c>
      <c r="F23" s="13"/>
      <c r="G23" s="110"/>
      <c r="H23" s="110"/>
      <c r="I23" s="110"/>
      <c r="J23" s="110"/>
      <c r="K23" s="192">
        <f t="shared" si="0"/>
        <v>0</v>
      </c>
      <c r="L23" s="192">
        <f t="shared" si="1"/>
        <v>0</v>
      </c>
      <c r="M23" s="192">
        <v>210</v>
      </c>
      <c r="N23" s="192">
        <f>M23*1000/(19.2*10*17*60)*T23</f>
        <v>2.1446078431372548</v>
      </c>
      <c r="O23" s="192"/>
      <c r="P23" s="192">
        <f t="shared" si="2"/>
        <v>0</v>
      </c>
      <c r="Q23" s="192"/>
      <c r="R23" s="19">
        <f t="shared" si="3"/>
        <v>0</v>
      </c>
      <c r="S23" s="192">
        <f t="shared" si="4"/>
        <v>0</v>
      </c>
      <c r="T23" s="20">
        <v>2</v>
      </c>
      <c r="U23" s="20"/>
      <c r="V23" s="19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95">
        <v>300115</v>
      </c>
      <c r="B24" s="190" t="s">
        <v>43</v>
      </c>
      <c r="C24" s="226" t="s">
        <v>50</v>
      </c>
      <c r="D24" s="226"/>
      <c r="E24" s="194" t="s">
        <v>41</v>
      </c>
      <c r="F24" s="13"/>
      <c r="G24" s="110"/>
      <c r="H24" s="110"/>
      <c r="I24" s="110"/>
      <c r="J24" s="110"/>
      <c r="K24" s="192">
        <f t="shared" si="0"/>
        <v>0</v>
      </c>
      <c r="L24" s="192">
        <f t="shared" si="1"/>
        <v>0</v>
      </c>
      <c r="M24" s="192">
        <v>210</v>
      </c>
      <c r="N24" s="192">
        <f>M24*1000/(19.2*10*17*60)*T24</f>
        <v>2.1446078431372548</v>
      </c>
      <c r="O24" s="192"/>
      <c r="P24" s="192">
        <f t="shared" si="2"/>
        <v>0</v>
      </c>
      <c r="Q24" s="192"/>
      <c r="R24" s="19">
        <f t="shared" si="3"/>
        <v>0</v>
      </c>
      <c r="S24" s="192">
        <f t="shared" si="4"/>
        <v>0</v>
      </c>
      <c r="T24" s="20">
        <v>2</v>
      </c>
      <c r="U24" s="20"/>
      <c r="V24" s="19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95">
        <v>300011</v>
      </c>
      <c r="B25" s="190" t="s">
        <v>43</v>
      </c>
      <c r="C25" s="226" t="s">
        <v>51</v>
      </c>
      <c r="D25" s="226"/>
      <c r="E25" s="194" t="s">
        <v>40</v>
      </c>
      <c r="F25" s="13"/>
      <c r="G25" s="110"/>
      <c r="H25" s="110"/>
      <c r="I25" s="110"/>
      <c r="J25" s="110"/>
      <c r="K25" s="192">
        <f t="shared" si="0"/>
        <v>0</v>
      </c>
      <c r="L25" s="192">
        <f t="shared" si="1"/>
        <v>0</v>
      </c>
      <c r="M25" s="192">
        <v>524.6</v>
      </c>
      <c r="N25" s="192">
        <f>+M25*1000/(25.4*20*15*60)*T25</f>
        <v>3.4422572178477688</v>
      </c>
      <c r="O25" s="192"/>
      <c r="P25" s="192">
        <f t="shared" si="2"/>
        <v>0</v>
      </c>
      <c r="Q25" s="192"/>
      <c r="R25" s="19">
        <f t="shared" si="3"/>
        <v>0</v>
      </c>
      <c r="S25" s="192">
        <f t="shared" si="4"/>
        <v>0</v>
      </c>
      <c r="T25" s="20">
        <v>3</v>
      </c>
      <c r="U25" s="20"/>
      <c r="V25" s="19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95">
        <v>300012</v>
      </c>
      <c r="B26" s="190" t="s">
        <v>43</v>
      </c>
      <c r="C26" s="226" t="s">
        <v>51</v>
      </c>
      <c r="D26" s="226"/>
      <c r="E26" s="194" t="s">
        <v>41</v>
      </c>
      <c r="F26" s="13"/>
      <c r="G26" s="110"/>
      <c r="H26" s="110"/>
      <c r="I26" s="110"/>
      <c r="J26" s="110"/>
      <c r="K26" s="192">
        <f t="shared" si="0"/>
        <v>0</v>
      </c>
      <c r="L26" s="192">
        <f t="shared" si="1"/>
        <v>0</v>
      </c>
      <c r="M26" s="192">
        <v>524.6</v>
      </c>
      <c r="N26" s="192">
        <f>+M26*1000/(25.4*20*15*60)*T26</f>
        <v>3.4422572178477688</v>
      </c>
      <c r="O26" s="192"/>
      <c r="P26" s="192">
        <f t="shared" si="2"/>
        <v>0</v>
      </c>
      <c r="Q26" s="192"/>
      <c r="R26" s="19">
        <f t="shared" si="3"/>
        <v>0</v>
      </c>
      <c r="S26" s="192">
        <f t="shared" si="4"/>
        <v>0</v>
      </c>
      <c r="T26" s="20">
        <v>3</v>
      </c>
      <c r="U26" s="20"/>
      <c r="V26" s="19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95">
        <v>300013</v>
      </c>
      <c r="B27" s="190" t="s">
        <v>43</v>
      </c>
      <c r="C27" s="226" t="s">
        <v>51</v>
      </c>
      <c r="D27" s="226"/>
      <c r="E27" s="194" t="s">
        <v>42</v>
      </c>
      <c r="F27" s="13"/>
      <c r="G27" s="110"/>
      <c r="H27" s="110"/>
      <c r="I27" s="110"/>
      <c r="J27" s="110"/>
      <c r="K27" s="192">
        <f t="shared" si="0"/>
        <v>0</v>
      </c>
      <c r="L27" s="192">
        <f t="shared" si="1"/>
        <v>0</v>
      </c>
      <c r="M27" s="192">
        <v>524.6</v>
      </c>
      <c r="N27" s="192">
        <f>+M27*1000/(25.4*20*15*60)*T27</f>
        <v>3.4422572178477688</v>
      </c>
      <c r="O27" s="192"/>
      <c r="P27" s="192">
        <f t="shared" si="2"/>
        <v>0</v>
      </c>
      <c r="Q27" s="192"/>
      <c r="R27" s="19">
        <f t="shared" si="3"/>
        <v>0</v>
      </c>
      <c r="S27" s="192">
        <f t="shared" si="4"/>
        <v>0</v>
      </c>
      <c r="T27" s="20">
        <v>3</v>
      </c>
      <c r="U27" s="20"/>
      <c r="V27" s="19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95">
        <v>300016</v>
      </c>
      <c r="B28" s="190" t="s">
        <v>43</v>
      </c>
      <c r="C28" s="226" t="s">
        <v>51</v>
      </c>
      <c r="D28" s="226"/>
      <c r="E28" s="194" t="s">
        <v>38</v>
      </c>
      <c r="F28" s="13"/>
      <c r="G28" s="110"/>
      <c r="H28" s="110"/>
      <c r="I28" s="110"/>
      <c r="J28" s="110"/>
      <c r="K28" s="192">
        <f t="shared" si="0"/>
        <v>0</v>
      </c>
      <c r="L28" s="192">
        <f t="shared" si="1"/>
        <v>0</v>
      </c>
      <c r="M28" s="192">
        <v>524.6</v>
      </c>
      <c r="N28" s="192">
        <f>+M28*1000/(25.4*20*15*60)*T28</f>
        <v>3.4422572178477688</v>
      </c>
      <c r="O28" s="192"/>
      <c r="P28" s="192">
        <f t="shared" si="2"/>
        <v>0</v>
      </c>
      <c r="Q28" s="192"/>
      <c r="R28" s="19">
        <f t="shared" si="3"/>
        <v>0</v>
      </c>
      <c r="S28" s="192">
        <f t="shared" si="4"/>
        <v>0</v>
      </c>
      <c r="T28" s="20">
        <v>3</v>
      </c>
      <c r="U28" s="20"/>
      <c r="V28" s="19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203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95">
        <v>300276</v>
      </c>
      <c r="B30" s="190" t="s">
        <v>43</v>
      </c>
      <c r="C30" s="226" t="s">
        <v>53</v>
      </c>
      <c r="D30" s="226"/>
      <c r="E30" s="194" t="s">
        <v>41</v>
      </c>
      <c r="F30" s="13"/>
      <c r="G30" s="110"/>
      <c r="H30" s="110"/>
      <c r="I30" s="110"/>
      <c r="J30" s="110"/>
      <c r="K30" s="192">
        <f t="shared" si="0"/>
        <v>0</v>
      </c>
      <c r="L30" s="192">
        <f t="shared" si="1"/>
        <v>0</v>
      </c>
      <c r="M30" s="15">
        <v>266</v>
      </c>
      <c r="N30" s="192">
        <f>+M30*1000/(29.8*10*13*60)*T30</f>
        <v>3.4331440371708828</v>
      </c>
      <c r="O30" s="192"/>
      <c r="P30" s="192">
        <f t="shared" si="2"/>
        <v>0</v>
      </c>
      <c r="Q30" s="192"/>
      <c r="R30" s="19">
        <f t="shared" si="3"/>
        <v>0</v>
      </c>
      <c r="S30" s="192">
        <f t="shared" si="4"/>
        <v>0</v>
      </c>
      <c r="T30" s="20">
        <v>3</v>
      </c>
      <c r="U30" s="20"/>
      <c r="V30" s="19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95">
        <v>300277</v>
      </c>
      <c r="B31" s="190" t="s">
        <v>43</v>
      </c>
      <c r="C31" s="226" t="s">
        <v>53</v>
      </c>
      <c r="D31" s="226"/>
      <c r="E31" s="194" t="s">
        <v>39</v>
      </c>
      <c r="F31" s="13"/>
      <c r="G31" s="110"/>
      <c r="H31" s="110"/>
      <c r="I31" s="110"/>
      <c r="J31" s="110"/>
      <c r="K31" s="192">
        <f t="shared" si="0"/>
        <v>0</v>
      </c>
      <c r="L31" s="192">
        <f t="shared" si="1"/>
        <v>0</v>
      </c>
      <c r="M31" s="15">
        <v>266</v>
      </c>
      <c r="N31" s="192">
        <f>+M31*1000/(29.8*10*13*60)*T31</f>
        <v>3.4331440371708828</v>
      </c>
      <c r="O31" s="192"/>
      <c r="P31" s="192">
        <f t="shared" si="2"/>
        <v>0</v>
      </c>
      <c r="Q31" s="192"/>
      <c r="R31" s="19">
        <f t="shared" si="3"/>
        <v>0</v>
      </c>
      <c r="S31" s="192">
        <f t="shared" si="4"/>
        <v>0</v>
      </c>
      <c r="T31" s="20">
        <v>3</v>
      </c>
      <c r="U31" s="20"/>
      <c r="V31" s="19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95">
        <v>300278</v>
      </c>
      <c r="B32" s="190" t="s">
        <v>43</v>
      </c>
      <c r="C32" s="226" t="s">
        <v>53</v>
      </c>
      <c r="D32" s="226"/>
      <c r="E32" s="194" t="s">
        <v>54</v>
      </c>
      <c r="F32" s="13"/>
      <c r="G32" s="110"/>
      <c r="H32" s="110"/>
      <c r="I32" s="110"/>
      <c r="J32" s="110"/>
      <c r="K32" s="192">
        <f t="shared" si="0"/>
        <v>0</v>
      </c>
      <c r="L32" s="192">
        <f t="shared" si="1"/>
        <v>0</v>
      </c>
      <c r="M32" s="15">
        <v>266</v>
      </c>
      <c r="N32" s="192">
        <f>+M32*1000/(29.8*10*13*60)*T32</f>
        <v>3.4331440371708828</v>
      </c>
      <c r="O32" s="192"/>
      <c r="P32" s="192">
        <f t="shared" si="2"/>
        <v>0</v>
      </c>
      <c r="Q32" s="192"/>
      <c r="R32" s="19">
        <f t="shared" si="3"/>
        <v>0</v>
      </c>
      <c r="S32" s="192">
        <f t="shared" si="4"/>
        <v>0</v>
      </c>
      <c r="T32" s="20">
        <v>3</v>
      </c>
      <c r="U32" s="20"/>
      <c r="V32" s="19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95">
        <v>300027</v>
      </c>
      <c r="B33" s="190" t="s">
        <v>55</v>
      </c>
      <c r="C33" s="226" t="s">
        <v>56</v>
      </c>
      <c r="D33" s="226"/>
      <c r="E33" s="194" t="s">
        <v>54</v>
      </c>
      <c r="F33" s="13"/>
      <c r="G33" s="110"/>
      <c r="H33" s="110"/>
      <c r="I33" s="110"/>
      <c r="J33" s="110"/>
      <c r="K33" s="192">
        <f t="shared" si="0"/>
        <v>0</v>
      </c>
      <c r="L33" s="192">
        <f t="shared" si="1"/>
        <v>0</v>
      </c>
      <c r="M33" s="192">
        <v>550.4</v>
      </c>
      <c r="N33" s="192">
        <f>+M33*1000/(31*20*15*60)*T33</f>
        <v>2.9591397849462364</v>
      </c>
      <c r="O33" s="192"/>
      <c r="P33" s="192">
        <f t="shared" si="2"/>
        <v>0</v>
      </c>
      <c r="Q33" s="192"/>
      <c r="R33" s="19">
        <f t="shared" si="3"/>
        <v>0</v>
      </c>
      <c r="S33" s="192">
        <f t="shared" si="4"/>
        <v>0</v>
      </c>
      <c r="T33" s="20">
        <v>3</v>
      </c>
      <c r="U33" s="20"/>
      <c r="V33" s="19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95">
        <v>300028</v>
      </c>
      <c r="B34" s="190" t="s">
        <v>55</v>
      </c>
      <c r="C34" s="226" t="s">
        <v>56</v>
      </c>
      <c r="D34" s="226"/>
      <c r="E34" s="194" t="s">
        <v>35</v>
      </c>
      <c r="F34" s="13"/>
      <c r="G34" s="110"/>
      <c r="H34" s="110"/>
      <c r="I34" s="110"/>
      <c r="J34" s="110"/>
      <c r="K34" s="192">
        <f t="shared" si="0"/>
        <v>0</v>
      </c>
      <c r="L34" s="192">
        <f t="shared" si="1"/>
        <v>0</v>
      </c>
      <c r="M34" s="192">
        <v>550.4</v>
      </c>
      <c r="N34" s="192">
        <f>+M34*1000/(31*20*15*60)*T34</f>
        <v>2.9591397849462364</v>
      </c>
      <c r="O34" s="192"/>
      <c r="P34" s="192">
        <f t="shared" si="2"/>
        <v>0</v>
      </c>
      <c r="Q34" s="192"/>
      <c r="R34" s="19">
        <f t="shared" si="3"/>
        <v>0</v>
      </c>
      <c r="S34" s="192">
        <f t="shared" si="4"/>
        <v>0</v>
      </c>
      <c r="T34" s="20">
        <v>3</v>
      </c>
      <c r="U34" s="20"/>
      <c r="V34" s="19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95">
        <v>300029</v>
      </c>
      <c r="B35" s="190" t="s">
        <v>55</v>
      </c>
      <c r="C35" s="226" t="s">
        <v>56</v>
      </c>
      <c r="D35" s="226"/>
      <c r="E35" s="194" t="s">
        <v>57</v>
      </c>
      <c r="F35" s="13"/>
      <c r="G35" s="110"/>
      <c r="H35" s="110"/>
      <c r="I35" s="110"/>
      <c r="J35" s="110"/>
      <c r="K35" s="192">
        <f t="shared" si="0"/>
        <v>0</v>
      </c>
      <c r="L35" s="192">
        <f t="shared" si="1"/>
        <v>0</v>
      </c>
      <c r="M35" s="192">
        <v>550.4</v>
      </c>
      <c r="N35" s="192">
        <f>+M35*1000/(31*20*15*60)*T35</f>
        <v>2.9591397849462364</v>
      </c>
      <c r="O35" s="192"/>
      <c r="P35" s="192">
        <f t="shared" si="2"/>
        <v>0</v>
      </c>
      <c r="Q35" s="192"/>
      <c r="R35" s="19">
        <f t="shared" si="3"/>
        <v>0</v>
      </c>
      <c r="S35" s="192">
        <f t="shared" si="4"/>
        <v>0</v>
      </c>
      <c r="T35" s="20">
        <v>3</v>
      </c>
      <c r="U35" s="20"/>
      <c r="V35" s="19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95">
        <v>300026</v>
      </c>
      <c r="B36" s="190" t="s">
        <v>55</v>
      </c>
      <c r="C36" s="226" t="s">
        <v>56</v>
      </c>
      <c r="D36" s="226"/>
      <c r="E36" s="194" t="s">
        <v>37</v>
      </c>
      <c r="F36" s="13"/>
      <c r="G36" s="110"/>
      <c r="H36" s="110"/>
      <c r="I36" s="110"/>
      <c r="J36" s="110"/>
      <c r="K36" s="192">
        <f t="shared" si="0"/>
        <v>0</v>
      </c>
      <c r="L36" s="192">
        <f t="shared" si="1"/>
        <v>0</v>
      </c>
      <c r="M36" s="192">
        <v>550.4</v>
      </c>
      <c r="N36" s="192">
        <f>+M36*1000/(31*20*15*60)*T36</f>
        <v>2.9591397849462364</v>
      </c>
      <c r="O36" s="192"/>
      <c r="P36" s="192">
        <f t="shared" si="2"/>
        <v>0</v>
      </c>
      <c r="Q36" s="192"/>
      <c r="R36" s="19">
        <f t="shared" si="3"/>
        <v>0</v>
      </c>
      <c r="S36" s="192">
        <f t="shared" si="4"/>
        <v>0</v>
      </c>
      <c r="T36" s="20">
        <v>3</v>
      </c>
      <c r="U36" s="20"/>
      <c r="V36" s="19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95">
        <v>300032</v>
      </c>
      <c r="B37" s="190">
        <v>3002</v>
      </c>
      <c r="C37" s="226" t="s">
        <v>58</v>
      </c>
      <c r="D37" s="226" t="s">
        <v>59</v>
      </c>
      <c r="E37" s="194" t="s">
        <v>35</v>
      </c>
      <c r="F37" s="13"/>
      <c r="G37" s="110"/>
      <c r="H37" s="110"/>
      <c r="I37" s="110"/>
      <c r="J37" s="110"/>
      <c r="K37" s="192">
        <f t="shared" si="0"/>
        <v>0</v>
      </c>
      <c r="L37" s="192">
        <f t="shared" si="1"/>
        <v>0</v>
      </c>
      <c r="M37" s="192">
        <v>285.7</v>
      </c>
      <c r="N37" s="192">
        <f>+M37*1000/(31*10*13*60)*T37</f>
        <v>7.0893300248138953</v>
      </c>
      <c r="O37" s="192"/>
      <c r="P37" s="192">
        <f t="shared" si="2"/>
        <v>0</v>
      </c>
      <c r="Q37" s="192"/>
      <c r="R37" s="19">
        <f t="shared" si="3"/>
        <v>0</v>
      </c>
      <c r="S37" s="192">
        <f t="shared" si="4"/>
        <v>0</v>
      </c>
      <c r="T37" s="20">
        <v>6</v>
      </c>
      <c r="U37" s="20"/>
      <c r="V37" s="19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95">
        <v>300413</v>
      </c>
      <c r="B38" s="190">
        <v>3002</v>
      </c>
      <c r="C38" s="237" t="s">
        <v>304</v>
      </c>
      <c r="D38" s="238"/>
      <c r="E38" s="194" t="s">
        <v>302</v>
      </c>
      <c r="F38" s="13"/>
      <c r="G38" s="110"/>
      <c r="H38" s="110"/>
      <c r="I38" s="110"/>
      <c r="J38" s="110"/>
      <c r="K38" s="192">
        <f t="shared" si="0"/>
        <v>0</v>
      </c>
      <c r="L38" s="192">
        <f t="shared" si="1"/>
        <v>0</v>
      </c>
      <c r="M38" s="192">
        <v>528.79999999999995</v>
      </c>
      <c r="N38" s="192">
        <f>+M38*1000/(31*10*13*60)*T38</f>
        <v>6.5607940446650126</v>
      </c>
      <c r="O38" s="192"/>
      <c r="P38" s="192">
        <f t="shared" si="2"/>
        <v>0</v>
      </c>
      <c r="Q38" s="192"/>
      <c r="R38" s="19">
        <f t="shared" si="3"/>
        <v>0</v>
      </c>
      <c r="S38" s="192">
        <f t="shared" si="4"/>
        <v>0</v>
      </c>
      <c r="T38" s="20">
        <v>3</v>
      </c>
      <c r="U38" s="20"/>
      <c r="V38" s="19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95">
        <v>300414</v>
      </c>
      <c r="B39" s="190">
        <v>3002</v>
      </c>
      <c r="C39" s="237" t="s">
        <v>304</v>
      </c>
      <c r="D39" s="238"/>
      <c r="E39" s="194" t="s">
        <v>311</v>
      </c>
      <c r="F39" s="13"/>
      <c r="G39" s="110"/>
      <c r="H39" s="110"/>
      <c r="I39" s="110"/>
      <c r="J39" s="110"/>
      <c r="K39" s="192">
        <f t="shared" si="0"/>
        <v>0</v>
      </c>
      <c r="L39" s="192">
        <f t="shared" si="1"/>
        <v>0</v>
      </c>
      <c r="M39" s="192">
        <v>528.79999999999995</v>
      </c>
      <c r="N39" s="192">
        <f>+M39*1000/(31*10*13*60)*T39</f>
        <v>6.5607940446650126</v>
      </c>
      <c r="O39" s="192"/>
      <c r="P39" s="192">
        <f t="shared" si="2"/>
        <v>0</v>
      </c>
      <c r="Q39" s="192"/>
      <c r="R39" s="19">
        <f t="shared" si="3"/>
        <v>0</v>
      </c>
      <c r="S39" s="192">
        <f t="shared" si="4"/>
        <v>0</v>
      </c>
      <c r="T39" s="20">
        <v>3</v>
      </c>
      <c r="U39" s="20"/>
      <c r="V39" s="19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95">
        <v>300415</v>
      </c>
      <c r="B40" s="190">
        <v>3002</v>
      </c>
      <c r="C40" s="237" t="s">
        <v>304</v>
      </c>
      <c r="D40" s="238"/>
      <c r="E40" s="194" t="s">
        <v>303</v>
      </c>
      <c r="F40" s="13"/>
      <c r="G40" s="110"/>
      <c r="H40" s="110"/>
      <c r="I40" s="110"/>
      <c r="J40" s="110"/>
      <c r="K40" s="192">
        <f t="shared" si="0"/>
        <v>0</v>
      </c>
      <c r="L40" s="192">
        <f t="shared" si="1"/>
        <v>0</v>
      </c>
      <c r="M40" s="192">
        <v>528.79999999999995</v>
      </c>
      <c r="N40" s="192">
        <f>+M40*1000/(31*10*13*60)*T40</f>
        <v>6.5607940446650126</v>
      </c>
      <c r="O40" s="192"/>
      <c r="P40" s="192">
        <f t="shared" si="2"/>
        <v>0</v>
      </c>
      <c r="Q40" s="192"/>
      <c r="R40" s="19">
        <f t="shared" si="3"/>
        <v>0</v>
      </c>
      <c r="S40" s="192">
        <f t="shared" si="4"/>
        <v>0</v>
      </c>
      <c r="T40" s="20">
        <v>3</v>
      </c>
      <c r="U40" s="20"/>
      <c r="V40" s="19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95">
        <v>300035</v>
      </c>
      <c r="B41" s="190" t="s">
        <v>60</v>
      </c>
      <c r="C41" s="226" t="s">
        <v>61</v>
      </c>
      <c r="D41" s="226" t="s">
        <v>62</v>
      </c>
      <c r="E41" s="194" t="s">
        <v>35</v>
      </c>
      <c r="F41" s="13"/>
      <c r="G41" s="110"/>
      <c r="H41" s="110"/>
      <c r="I41" s="110"/>
      <c r="J41" s="110"/>
      <c r="K41" s="192">
        <f t="shared" si="0"/>
        <v>0</v>
      </c>
      <c r="L41" s="192">
        <f t="shared" si="1"/>
        <v>0</v>
      </c>
      <c r="M41" s="192">
        <v>366.93</v>
      </c>
      <c r="N41" s="192">
        <f>+M41*1000/(35.8*10*13*60)*T41</f>
        <v>2.6280618822518265</v>
      </c>
      <c r="O41" s="192"/>
      <c r="P41" s="192">
        <f t="shared" si="2"/>
        <v>0</v>
      </c>
      <c r="Q41" s="192"/>
      <c r="R41" s="19">
        <f t="shared" si="3"/>
        <v>0</v>
      </c>
      <c r="S41" s="192">
        <f t="shared" si="4"/>
        <v>0</v>
      </c>
      <c r="T41" s="20">
        <v>2</v>
      </c>
      <c r="U41" s="20"/>
      <c r="V41" s="19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95">
        <v>300036</v>
      </c>
      <c r="B42" s="190" t="s">
        <v>60</v>
      </c>
      <c r="C42" s="226" t="s">
        <v>61</v>
      </c>
      <c r="D42" s="226" t="s">
        <v>62</v>
      </c>
      <c r="E42" s="194" t="s">
        <v>63</v>
      </c>
      <c r="F42" s="13"/>
      <c r="G42" s="110"/>
      <c r="H42" s="110"/>
      <c r="I42" s="110"/>
      <c r="J42" s="110"/>
      <c r="K42" s="192">
        <f t="shared" si="0"/>
        <v>0</v>
      </c>
      <c r="L42" s="192">
        <f t="shared" si="1"/>
        <v>0</v>
      </c>
      <c r="M42" s="192">
        <v>366.93</v>
      </c>
      <c r="N42" s="192">
        <f>+M42*1000/(35.8*10*13*60)*T42</f>
        <v>2.6280618822518265</v>
      </c>
      <c r="O42" s="192"/>
      <c r="P42" s="192">
        <f t="shared" si="2"/>
        <v>0</v>
      </c>
      <c r="Q42" s="192"/>
      <c r="R42" s="19">
        <f t="shared" si="3"/>
        <v>0</v>
      </c>
      <c r="S42" s="192">
        <f t="shared" si="4"/>
        <v>0</v>
      </c>
      <c r="T42" s="20">
        <v>2</v>
      </c>
      <c r="U42" s="20"/>
      <c r="V42" s="19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95">
        <v>300037</v>
      </c>
      <c r="B43" s="190" t="s">
        <v>60</v>
      </c>
      <c r="C43" s="226" t="s">
        <v>61</v>
      </c>
      <c r="D43" s="226" t="s">
        <v>62</v>
      </c>
      <c r="E43" s="194" t="s">
        <v>37</v>
      </c>
      <c r="F43" s="13"/>
      <c r="G43" s="110"/>
      <c r="H43" s="110"/>
      <c r="I43" s="110"/>
      <c r="J43" s="110"/>
      <c r="K43" s="192">
        <f t="shared" si="0"/>
        <v>0</v>
      </c>
      <c r="L43" s="192">
        <f t="shared" si="1"/>
        <v>0</v>
      </c>
      <c r="M43" s="192">
        <v>366.93</v>
      </c>
      <c r="N43" s="192">
        <f>+M43*1000/(35.8*10*13*60)*T43</f>
        <v>2.6280618822518265</v>
      </c>
      <c r="O43" s="192"/>
      <c r="P43" s="192">
        <f t="shared" si="2"/>
        <v>0</v>
      </c>
      <c r="Q43" s="192"/>
      <c r="R43" s="19">
        <f t="shared" si="3"/>
        <v>0</v>
      </c>
      <c r="S43" s="192">
        <f t="shared" si="4"/>
        <v>0</v>
      </c>
      <c r="T43" s="20">
        <v>2</v>
      </c>
      <c r="U43" s="20"/>
      <c r="V43" s="19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95">
        <v>300038</v>
      </c>
      <c r="B44" s="190" t="s">
        <v>60</v>
      </c>
      <c r="C44" s="226" t="s">
        <v>64</v>
      </c>
      <c r="D44" s="226" t="s">
        <v>65</v>
      </c>
      <c r="E44" s="194" t="s">
        <v>35</v>
      </c>
      <c r="F44" s="13"/>
      <c r="G44" s="110"/>
      <c r="H44" s="110"/>
      <c r="I44" s="110"/>
      <c r="J44" s="110"/>
      <c r="K44" s="192">
        <f t="shared" si="0"/>
        <v>0</v>
      </c>
      <c r="L44" s="192">
        <f t="shared" si="1"/>
        <v>0</v>
      </c>
      <c r="M44" s="192">
        <v>301.14</v>
      </c>
      <c r="N44" s="192">
        <f>+M44*1000/(35.8*10*13*60)*T44</f>
        <v>5.3921357971637294</v>
      </c>
      <c r="O44" s="192"/>
      <c r="P44" s="192">
        <f t="shared" si="2"/>
        <v>0</v>
      </c>
      <c r="Q44" s="192"/>
      <c r="R44" s="19">
        <f t="shared" si="3"/>
        <v>0</v>
      </c>
      <c r="S44" s="192">
        <f t="shared" si="4"/>
        <v>0</v>
      </c>
      <c r="T44" s="20">
        <v>5</v>
      </c>
      <c r="U44" s="20"/>
      <c r="V44" s="19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95">
        <v>300039</v>
      </c>
      <c r="B45" s="190" t="s">
        <v>60</v>
      </c>
      <c r="C45" s="226" t="s">
        <v>64</v>
      </c>
      <c r="D45" s="226" t="s">
        <v>65</v>
      </c>
      <c r="E45" s="194" t="s">
        <v>66</v>
      </c>
      <c r="F45" s="13"/>
      <c r="G45" s="110"/>
      <c r="H45" s="110"/>
      <c r="I45" s="110"/>
      <c r="J45" s="110"/>
      <c r="K45" s="192">
        <f t="shared" si="0"/>
        <v>0</v>
      </c>
      <c r="L45" s="192">
        <f t="shared" si="1"/>
        <v>0</v>
      </c>
      <c r="M45" s="192">
        <v>310.39999999999998</v>
      </c>
      <c r="N45" s="192">
        <f>+M45*1000/(35.8*10*13*60)*T45</f>
        <v>5.557942988110586</v>
      </c>
      <c r="O45" s="192"/>
      <c r="P45" s="192">
        <f t="shared" si="2"/>
        <v>0</v>
      </c>
      <c r="Q45" s="192"/>
      <c r="R45" s="19">
        <f t="shared" si="3"/>
        <v>0</v>
      </c>
      <c r="S45" s="192">
        <f t="shared" si="4"/>
        <v>0</v>
      </c>
      <c r="T45" s="20">
        <v>5</v>
      </c>
      <c r="U45" s="20"/>
      <c r="V45" s="19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95">
        <v>300416</v>
      </c>
      <c r="B46" s="190" t="s">
        <v>67</v>
      </c>
      <c r="C46" s="237" t="s">
        <v>68</v>
      </c>
      <c r="D46" s="238"/>
      <c r="E46" s="194" t="s">
        <v>69</v>
      </c>
      <c r="F46" s="196"/>
      <c r="G46" s="14"/>
      <c r="H46" s="14"/>
      <c r="I46" s="14"/>
      <c r="J46" s="14"/>
      <c r="K46" s="192">
        <f t="shared" si="0"/>
        <v>0</v>
      </c>
      <c r="L46" s="192">
        <f t="shared" si="1"/>
        <v>0</v>
      </c>
      <c r="M46" s="192">
        <v>385.6</v>
      </c>
      <c r="N46" s="192">
        <f>+M46*1000/(25.4*20*15*60)*T46</f>
        <v>2.5301837270341205</v>
      </c>
      <c r="O46" s="192"/>
      <c r="P46" s="192">
        <f t="shared" si="2"/>
        <v>0</v>
      </c>
      <c r="Q46" s="192"/>
      <c r="R46" s="19">
        <f t="shared" si="3"/>
        <v>0</v>
      </c>
      <c r="S46" s="192">
        <f t="shared" si="4"/>
        <v>0</v>
      </c>
      <c r="T46" s="20">
        <v>3</v>
      </c>
      <c r="U46" s="20"/>
      <c r="V46" s="19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95">
        <v>300417</v>
      </c>
      <c r="B47" s="190" t="s">
        <v>67</v>
      </c>
      <c r="C47" s="237" t="s">
        <v>68</v>
      </c>
      <c r="D47" s="238"/>
      <c r="E47" s="194" t="s">
        <v>70</v>
      </c>
      <c r="F47" s="196"/>
      <c r="G47" s="14"/>
      <c r="H47" s="14"/>
      <c r="I47" s="14"/>
      <c r="J47" s="14"/>
      <c r="K47" s="192">
        <f t="shared" si="0"/>
        <v>0</v>
      </c>
      <c r="L47" s="192">
        <f t="shared" si="1"/>
        <v>0</v>
      </c>
      <c r="M47" s="192">
        <v>385.6</v>
      </c>
      <c r="N47" s="192">
        <f>+M47*1000/(25.4*20*15*60)*T47</f>
        <v>2.5301837270341205</v>
      </c>
      <c r="O47" s="192"/>
      <c r="P47" s="192">
        <f t="shared" si="2"/>
        <v>0</v>
      </c>
      <c r="Q47" s="192"/>
      <c r="R47" s="19">
        <f t="shared" si="3"/>
        <v>0</v>
      </c>
      <c r="S47" s="192">
        <f t="shared" si="4"/>
        <v>0</v>
      </c>
      <c r="T47" s="20">
        <v>3</v>
      </c>
      <c r="U47" s="20"/>
      <c r="V47" s="19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95">
        <v>300418</v>
      </c>
      <c r="B48" s="190" t="s">
        <v>67</v>
      </c>
      <c r="C48" s="237" t="s">
        <v>68</v>
      </c>
      <c r="D48" s="238"/>
      <c r="E48" s="194" t="s">
        <v>71</v>
      </c>
      <c r="F48" s="196"/>
      <c r="G48" s="14"/>
      <c r="H48" s="14"/>
      <c r="I48" s="14"/>
      <c r="J48" s="14"/>
      <c r="K48" s="192">
        <f t="shared" si="0"/>
        <v>0</v>
      </c>
      <c r="L48" s="192">
        <f t="shared" si="1"/>
        <v>0</v>
      </c>
      <c r="M48" s="192">
        <v>385.6</v>
      </c>
      <c r="N48" s="192">
        <f>+M48*1000/(25.4*20*15*60)*T48</f>
        <v>2.5301837270341205</v>
      </c>
      <c r="O48" s="192"/>
      <c r="P48" s="192">
        <f t="shared" si="2"/>
        <v>0</v>
      </c>
      <c r="Q48" s="192"/>
      <c r="R48" s="19">
        <f t="shared" si="3"/>
        <v>0</v>
      </c>
      <c r="S48" s="192">
        <f t="shared" si="4"/>
        <v>0</v>
      </c>
      <c r="T48" s="20">
        <v>3</v>
      </c>
      <c r="U48" s="20"/>
      <c r="V48" s="19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95">
        <v>300419</v>
      </c>
      <c r="B49" s="190" t="s">
        <v>67</v>
      </c>
      <c r="C49" s="237" t="s">
        <v>68</v>
      </c>
      <c r="D49" s="238"/>
      <c r="E49" s="194" t="s">
        <v>72</v>
      </c>
      <c r="F49" s="196"/>
      <c r="G49" s="14"/>
      <c r="H49" s="14"/>
      <c r="I49" s="14"/>
      <c r="J49" s="14"/>
      <c r="K49" s="192">
        <f t="shared" si="0"/>
        <v>0</v>
      </c>
      <c r="L49" s="192">
        <f t="shared" si="1"/>
        <v>0</v>
      </c>
      <c r="M49" s="192">
        <v>385.6</v>
      </c>
      <c r="N49" s="192">
        <f>+M49*1000/(25.4*20*15*60)*T49</f>
        <v>2.5301837270341205</v>
      </c>
      <c r="O49" s="192"/>
      <c r="P49" s="192">
        <f t="shared" si="2"/>
        <v>0</v>
      </c>
      <c r="Q49" s="192"/>
      <c r="R49" s="19">
        <f t="shared" si="3"/>
        <v>0</v>
      </c>
      <c r="S49" s="192">
        <f t="shared" si="4"/>
        <v>0</v>
      </c>
      <c r="T49" s="20">
        <v>3</v>
      </c>
      <c r="U49" s="20"/>
      <c r="V49" s="19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95">
        <v>300260</v>
      </c>
      <c r="B50" s="190" t="s">
        <v>67</v>
      </c>
      <c r="C50" s="226" t="s">
        <v>73</v>
      </c>
      <c r="D50" s="226"/>
      <c r="E50" s="194" t="s">
        <v>74</v>
      </c>
      <c r="F50" s="13"/>
      <c r="G50" s="110"/>
      <c r="H50" s="110"/>
      <c r="I50" s="110"/>
      <c r="J50" s="110"/>
      <c r="K50" s="192">
        <f t="shared" si="0"/>
        <v>0</v>
      </c>
      <c r="L50" s="192">
        <f t="shared" si="1"/>
        <v>0</v>
      </c>
      <c r="M50" s="192">
        <v>434.33</v>
      </c>
      <c r="N50" s="192">
        <f>+M50*1000/(42.7*10*15*60)*T50</f>
        <v>2.2603695029924538</v>
      </c>
      <c r="O50" s="192"/>
      <c r="P50" s="192">
        <f t="shared" si="2"/>
        <v>0</v>
      </c>
      <c r="Q50" s="192"/>
      <c r="R50" s="19">
        <f t="shared" si="3"/>
        <v>0</v>
      </c>
      <c r="S50" s="192">
        <f t="shared" si="4"/>
        <v>0</v>
      </c>
      <c r="T50" s="20">
        <v>2</v>
      </c>
      <c r="U50" s="20"/>
      <c r="V50" s="19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95">
        <v>300261</v>
      </c>
      <c r="B51" s="190" t="s">
        <v>67</v>
      </c>
      <c r="C51" s="226" t="s">
        <v>73</v>
      </c>
      <c r="D51" s="226"/>
      <c r="E51" s="194" t="s">
        <v>41</v>
      </c>
      <c r="F51" s="13"/>
      <c r="G51" s="110"/>
      <c r="H51" s="110"/>
      <c r="I51" s="110"/>
      <c r="J51" s="110"/>
      <c r="K51" s="192">
        <f t="shared" si="0"/>
        <v>0</v>
      </c>
      <c r="L51" s="192">
        <f t="shared" si="1"/>
        <v>0</v>
      </c>
      <c r="M51" s="192">
        <v>434.33</v>
      </c>
      <c r="N51" s="192">
        <f>+M51*1000/(42.7*10*15*60)*T51</f>
        <v>2.2603695029924538</v>
      </c>
      <c r="O51" s="192"/>
      <c r="P51" s="192">
        <f t="shared" si="2"/>
        <v>0</v>
      </c>
      <c r="Q51" s="192"/>
      <c r="R51" s="19">
        <f t="shared" si="3"/>
        <v>0</v>
      </c>
      <c r="S51" s="192">
        <f t="shared" si="4"/>
        <v>0</v>
      </c>
      <c r="T51" s="20">
        <v>2</v>
      </c>
      <c r="U51" s="20"/>
      <c r="V51" s="19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95">
        <v>300262</v>
      </c>
      <c r="B52" s="190" t="s">
        <v>67</v>
      </c>
      <c r="C52" s="226" t="s">
        <v>73</v>
      </c>
      <c r="D52" s="226"/>
      <c r="E52" s="194" t="s">
        <v>39</v>
      </c>
      <c r="F52" s="13"/>
      <c r="G52" s="110"/>
      <c r="H52" s="110"/>
      <c r="I52" s="110"/>
      <c r="J52" s="110"/>
      <c r="K52" s="192">
        <f t="shared" si="0"/>
        <v>0</v>
      </c>
      <c r="L52" s="192">
        <f t="shared" si="1"/>
        <v>0</v>
      </c>
      <c r="M52" s="192">
        <v>434.33</v>
      </c>
      <c r="N52" s="192">
        <f>+M52*1000/(42.7*10*15*60)*T52</f>
        <v>2.2603695029924538</v>
      </c>
      <c r="O52" s="192"/>
      <c r="P52" s="192">
        <f t="shared" si="2"/>
        <v>0</v>
      </c>
      <c r="Q52" s="192"/>
      <c r="R52" s="19">
        <f t="shared" si="3"/>
        <v>0</v>
      </c>
      <c r="S52" s="192">
        <f t="shared" si="4"/>
        <v>0</v>
      </c>
      <c r="T52" s="20">
        <v>2</v>
      </c>
      <c r="U52" s="20"/>
      <c r="V52" s="19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95">
        <v>300263</v>
      </c>
      <c r="B53" s="190" t="s">
        <v>67</v>
      </c>
      <c r="C53" s="226" t="s">
        <v>73</v>
      </c>
      <c r="D53" s="226"/>
      <c r="E53" s="194" t="s">
        <v>54</v>
      </c>
      <c r="F53" s="13"/>
      <c r="G53" s="110"/>
      <c r="H53" s="110"/>
      <c r="I53" s="110"/>
      <c r="J53" s="110"/>
      <c r="K53" s="192">
        <f t="shared" si="0"/>
        <v>0</v>
      </c>
      <c r="L53" s="192">
        <f t="shared" si="1"/>
        <v>0</v>
      </c>
      <c r="M53" s="192">
        <v>434.33</v>
      </c>
      <c r="N53" s="192">
        <f>+M53*1000/(42.7*10*15*60)*T53</f>
        <v>2.2603695029924538</v>
      </c>
      <c r="O53" s="192"/>
      <c r="P53" s="192">
        <f t="shared" si="2"/>
        <v>0</v>
      </c>
      <c r="Q53" s="192"/>
      <c r="R53" s="19">
        <f t="shared" si="3"/>
        <v>0</v>
      </c>
      <c r="S53" s="192">
        <f t="shared" si="4"/>
        <v>0</v>
      </c>
      <c r="T53" s="20">
        <v>2</v>
      </c>
      <c r="U53" s="20"/>
      <c r="V53" s="19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95">
        <v>300051</v>
      </c>
      <c r="B54" s="190" t="s">
        <v>67</v>
      </c>
      <c r="C54" s="226" t="s">
        <v>75</v>
      </c>
      <c r="D54" s="226" t="s">
        <v>76</v>
      </c>
      <c r="E54" s="194" t="s">
        <v>40</v>
      </c>
      <c r="F54" s="13"/>
      <c r="G54" s="110"/>
      <c r="H54" s="110"/>
      <c r="I54" s="110"/>
      <c r="J54" s="110"/>
      <c r="K54" s="192">
        <f t="shared" si="0"/>
        <v>0</v>
      </c>
      <c r="L54" s="192">
        <f t="shared" si="1"/>
        <v>0</v>
      </c>
      <c r="M54" s="192">
        <v>545.9</v>
      </c>
      <c r="N54" s="192">
        <f>+M54*1000/(41.5*10*16*60)*T54</f>
        <v>2.7404618473895583</v>
      </c>
      <c r="O54" s="192"/>
      <c r="P54" s="192">
        <f t="shared" si="2"/>
        <v>0</v>
      </c>
      <c r="Q54" s="192"/>
      <c r="R54" s="19">
        <f t="shared" si="3"/>
        <v>0</v>
      </c>
      <c r="S54" s="192">
        <f t="shared" si="4"/>
        <v>0</v>
      </c>
      <c r="T54" s="22">
        <v>2</v>
      </c>
      <c r="U54" s="20"/>
      <c r="V54" s="19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95">
        <v>300052</v>
      </c>
      <c r="B55" s="190" t="s">
        <v>67</v>
      </c>
      <c r="C55" s="226" t="s">
        <v>75</v>
      </c>
      <c r="D55" s="226" t="s">
        <v>76</v>
      </c>
      <c r="E55" s="194" t="s">
        <v>39</v>
      </c>
      <c r="F55" s="13"/>
      <c r="G55" s="110"/>
      <c r="H55" s="110"/>
      <c r="I55" s="110"/>
      <c r="J55" s="110"/>
      <c r="K55" s="192">
        <f t="shared" si="0"/>
        <v>0</v>
      </c>
      <c r="L55" s="192">
        <f t="shared" si="1"/>
        <v>0</v>
      </c>
      <c r="M55" s="192">
        <v>545.9</v>
      </c>
      <c r="N55" s="192">
        <f>+M55*1000/(41.5*10*16*60)*T55</f>
        <v>2.7404618473895583</v>
      </c>
      <c r="O55" s="192"/>
      <c r="P55" s="192">
        <f t="shared" si="2"/>
        <v>0</v>
      </c>
      <c r="Q55" s="192"/>
      <c r="R55" s="19">
        <f t="shared" si="3"/>
        <v>0</v>
      </c>
      <c r="S55" s="192">
        <f t="shared" si="4"/>
        <v>0</v>
      </c>
      <c r="T55" s="20">
        <v>2</v>
      </c>
      <c r="U55" s="20"/>
      <c r="V55" s="19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95">
        <v>300054</v>
      </c>
      <c r="B56" s="190" t="s">
        <v>67</v>
      </c>
      <c r="C56" s="226" t="s">
        <v>75</v>
      </c>
      <c r="D56" s="226" t="s">
        <v>76</v>
      </c>
      <c r="E56" s="194" t="s">
        <v>38</v>
      </c>
      <c r="F56" s="13"/>
      <c r="G56" s="110"/>
      <c r="H56" s="110"/>
      <c r="I56" s="110"/>
      <c r="J56" s="110"/>
      <c r="K56" s="192">
        <f t="shared" si="0"/>
        <v>0</v>
      </c>
      <c r="L56" s="192">
        <f t="shared" si="1"/>
        <v>0</v>
      </c>
      <c r="M56" s="192">
        <v>545.9</v>
      </c>
      <c r="N56" s="192">
        <f>+M56*1000/(41.5*10*16*60)*T56</f>
        <v>2.7404618473895583</v>
      </c>
      <c r="O56" s="192"/>
      <c r="P56" s="192">
        <f t="shared" si="2"/>
        <v>0</v>
      </c>
      <c r="Q56" s="192"/>
      <c r="R56" s="19">
        <f t="shared" si="3"/>
        <v>0</v>
      </c>
      <c r="S56" s="192">
        <f t="shared" si="4"/>
        <v>0</v>
      </c>
      <c r="T56" s="20">
        <v>2</v>
      </c>
      <c r="U56" s="20"/>
      <c r="V56" s="19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203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95">
        <v>300050</v>
      </c>
      <c r="B58" s="190" t="s">
        <v>67</v>
      </c>
      <c r="C58" s="226" t="s">
        <v>77</v>
      </c>
      <c r="D58" s="226" t="s">
        <v>78</v>
      </c>
      <c r="E58" s="194" t="s">
        <v>79</v>
      </c>
      <c r="F58" s="13"/>
      <c r="G58" s="110"/>
      <c r="H58" s="110"/>
      <c r="I58" s="110"/>
      <c r="J58" s="110"/>
      <c r="K58" s="192">
        <f t="shared" si="0"/>
        <v>0</v>
      </c>
      <c r="L58" s="192">
        <f t="shared" si="1"/>
        <v>0</v>
      </c>
      <c r="M58" s="192">
        <v>427.5</v>
      </c>
      <c r="N58" s="192">
        <f>+M58*1000/(45*10*14*60)*T58</f>
        <v>5.6547619047619051</v>
      </c>
      <c r="O58" s="192"/>
      <c r="P58" s="192">
        <f t="shared" si="2"/>
        <v>0</v>
      </c>
      <c r="Q58" s="192"/>
      <c r="R58" s="19">
        <f t="shared" si="3"/>
        <v>0</v>
      </c>
      <c r="S58" s="192">
        <f t="shared" si="4"/>
        <v>0</v>
      </c>
      <c r="T58" s="20">
        <v>5</v>
      </c>
      <c r="U58" s="20"/>
      <c r="V58" s="19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95">
        <v>300045</v>
      </c>
      <c r="B59" s="190" t="s">
        <v>67</v>
      </c>
      <c r="C59" s="226" t="s">
        <v>77</v>
      </c>
      <c r="D59" s="226" t="s">
        <v>78</v>
      </c>
      <c r="E59" s="194" t="s">
        <v>35</v>
      </c>
      <c r="F59" s="13"/>
      <c r="G59" s="110"/>
      <c r="H59" s="110"/>
      <c r="I59" s="110"/>
      <c r="J59" s="110"/>
      <c r="K59" s="192">
        <f t="shared" si="0"/>
        <v>0</v>
      </c>
      <c r="L59" s="192">
        <f t="shared" si="1"/>
        <v>0</v>
      </c>
      <c r="M59" s="15">
        <v>406.6</v>
      </c>
      <c r="N59" s="192">
        <f>+M59*1000/(45*10*13*60)*T59</f>
        <v>5.7920227920227916</v>
      </c>
      <c r="O59" s="192"/>
      <c r="P59" s="192">
        <f t="shared" si="2"/>
        <v>0</v>
      </c>
      <c r="Q59" s="192"/>
      <c r="R59" s="19">
        <f t="shared" si="3"/>
        <v>0</v>
      </c>
      <c r="S59" s="192">
        <f t="shared" si="4"/>
        <v>0</v>
      </c>
      <c r="T59" s="20">
        <v>5</v>
      </c>
      <c r="U59" s="20"/>
      <c r="V59" s="19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95">
        <v>300422</v>
      </c>
      <c r="B60" s="190" t="s">
        <v>67</v>
      </c>
      <c r="C60" s="237" t="s">
        <v>301</v>
      </c>
      <c r="D60" s="238"/>
      <c r="E60" s="194" t="s">
        <v>54</v>
      </c>
      <c r="F60" s="13"/>
      <c r="G60" s="110"/>
      <c r="H60" s="110"/>
      <c r="I60" s="110"/>
      <c r="J60" s="110"/>
      <c r="K60" s="192">
        <f t="shared" si="0"/>
        <v>0</v>
      </c>
      <c r="L60" s="192">
        <f t="shared" si="1"/>
        <v>0</v>
      </c>
      <c r="M60" s="15">
        <v>429.8</v>
      </c>
      <c r="N60" s="192">
        <f>+M60*1000/(45*10*13*60)*T60</f>
        <v>3.6735042735042738</v>
      </c>
      <c r="O60" s="192"/>
      <c r="P60" s="192">
        <f t="shared" si="2"/>
        <v>0</v>
      </c>
      <c r="Q60" s="192"/>
      <c r="R60" s="19">
        <f t="shared" si="3"/>
        <v>0</v>
      </c>
      <c r="S60" s="192">
        <f t="shared" si="4"/>
        <v>0</v>
      </c>
      <c r="T60" s="20">
        <v>3</v>
      </c>
      <c r="U60" s="20"/>
      <c r="V60" s="19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95">
        <v>300421</v>
      </c>
      <c r="B61" s="190" t="s">
        <v>67</v>
      </c>
      <c r="C61" s="237" t="s">
        <v>301</v>
      </c>
      <c r="D61" s="238"/>
      <c r="E61" s="194" t="s">
        <v>80</v>
      </c>
      <c r="F61" s="13"/>
      <c r="G61" s="110"/>
      <c r="H61" s="110"/>
      <c r="I61" s="110"/>
      <c r="J61" s="110"/>
      <c r="K61" s="192">
        <f t="shared" si="0"/>
        <v>0</v>
      </c>
      <c r="L61" s="192">
        <f t="shared" si="1"/>
        <v>0</v>
      </c>
      <c r="M61" s="15">
        <v>429.8</v>
      </c>
      <c r="N61" s="192">
        <f>+M61*1000/(45*10*13*60)*T61</f>
        <v>3.6735042735042738</v>
      </c>
      <c r="O61" s="192"/>
      <c r="P61" s="192">
        <f t="shared" si="2"/>
        <v>0</v>
      </c>
      <c r="Q61" s="192"/>
      <c r="R61" s="19">
        <f t="shared" si="3"/>
        <v>0</v>
      </c>
      <c r="S61" s="192">
        <f t="shared" si="4"/>
        <v>0</v>
      </c>
      <c r="T61" s="20">
        <v>3</v>
      </c>
      <c r="U61" s="20"/>
      <c r="V61" s="19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95">
        <v>300149</v>
      </c>
      <c r="B62" s="190" t="s">
        <v>67</v>
      </c>
      <c r="C62" s="226" t="s">
        <v>81</v>
      </c>
      <c r="D62" s="226" t="s">
        <v>82</v>
      </c>
      <c r="E62" s="194" t="s">
        <v>80</v>
      </c>
      <c r="F62" s="13"/>
      <c r="G62" s="110"/>
      <c r="H62" s="110"/>
      <c r="I62" s="110"/>
      <c r="J62" s="110"/>
      <c r="K62" s="192">
        <f t="shared" si="0"/>
        <v>0</v>
      </c>
      <c r="L62" s="192">
        <f t="shared" si="1"/>
        <v>0</v>
      </c>
      <c r="M62" s="192">
        <v>589.1</v>
      </c>
      <c r="N62" s="192">
        <f>+M62*1000/(67.1*10*13*60)*T62</f>
        <v>3.3767052619511633</v>
      </c>
      <c r="O62" s="192"/>
      <c r="P62" s="192">
        <f t="shared" si="2"/>
        <v>0</v>
      </c>
      <c r="Q62" s="192"/>
      <c r="R62" s="19">
        <f t="shared" si="3"/>
        <v>0</v>
      </c>
      <c r="S62" s="192">
        <f t="shared" si="4"/>
        <v>0</v>
      </c>
      <c r="T62" s="20">
        <v>3</v>
      </c>
      <c r="U62" s="20"/>
      <c r="V62" s="19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95">
        <v>300150</v>
      </c>
      <c r="B63" s="190" t="s">
        <v>67</v>
      </c>
      <c r="C63" s="226" t="s">
        <v>81</v>
      </c>
      <c r="D63" s="226" t="s">
        <v>82</v>
      </c>
      <c r="E63" s="194" t="s">
        <v>54</v>
      </c>
      <c r="F63" s="13"/>
      <c r="G63" s="110"/>
      <c r="H63" s="110"/>
      <c r="I63" s="110"/>
      <c r="J63" s="110"/>
      <c r="K63" s="192">
        <f t="shared" si="0"/>
        <v>0</v>
      </c>
      <c r="L63" s="192">
        <f t="shared" si="1"/>
        <v>0</v>
      </c>
      <c r="M63" s="192">
        <v>589.1</v>
      </c>
      <c r="N63" s="192">
        <f>+M63*1000/(67.1*10*13*60)*T63</f>
        <v>3.3767052619511633</v>
      </c>
      <c r="O63" s="192"/>
      <c r="P63" s="192">
        <f t="shared" si="2"/>
        <v>0</v>
      </c>
      <c r="Q63" s="192"/>
      <c r="R63" s="19">
        <f t="shared" si="3"/>
        <v>0</v>
      </c>
      <c r="S63" s="192">
        <f t="shared" si="4"/>
        <v>0</v>
      </c>
      <c r="T63" s="20">
        <v>3</v>
      </c>
      <c r="U63" s="20"/>
      <c r="V63" s="19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95">
        <v>300330</v>
      </c>
      <c r="B64" s="190" t="s">
        <v>67</v>
      </c>
      <c r="C64" s="237" t="s">
        <v>83</v>
      </c>
      <c r="D64" s="238"/>
      <c r="E64" s="194" t="s">
        <v>84</v>
      </c>
      <c r="F64" s="13"/>
      <c r="G64" s="110"/>
      <c r="H64" s="110"/>
      <c r="I64" s="110"/>
      <c r="J64" s="110"/>
      <c r="K64" s="192">
        <f t="shared" si="0"/>
        <v>0</v>
      </c>
      <c r="L64" s="192">
        <f t="shared" si="1"/>
        <v>0</v>
      </c>
      <c r="M64" s="192">
        <v>416.3</v>
      </c>
      <c r="N64" s="192">
        <f t="shared" ref="N64:N70" si="6">+M64*1000/(45*10*18*60)*T64</f>
        <v>1.7131687242798355</v>
      </c>
      <c r="O64" s="192"/>
      <c r="P64" s="192">
        <f t="shared" si="2"/>
        <v>0</v>
      </c>
      <c r="Q64" s="192"/>
      <c r="R64" s="19">
        <f t="shared" si="3"/>
        <v>0</v>
      </c>
      <c r="S64" s="192">
        <f t="shared" si="4"/>
        <v>0</v>
      </c>
      <c r="T64" s="20">
        <v>2</v>
      </c>
      <c r="U64" s="20"/>
      <c r="V64" s="19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95">
        <v>300331</v>
      </c>
      <c r="B65" s="190" t="s">
        <v>67</v>
      </c>
      <c r="C65" s="237" t="s">
        <v>83</v>
      </c>
      <c r="D65" s="238"/>
      <c r="E65" s="194" t="s">
        <v>49</v>
      </c>
      <c r="F65" s="13"/>
      <c r="G65" s="110"/>
      <c r="H65" s="110"/>
      <c r="I65" s="110"/>
      <c r="J65" s="110"/>
      <c r="K65" s="192">
        <f t="shared" si="0"/>
        <v>0</v>
      </c>
      <c r="L65" s="192">
        <f t="shared" si="1"/>
        <v>0</v>
      </c>
      <c r="M65" s="192">
        <v>416.3</v>
      </c>
      <c r="N65" s="192">
        <f t="shared" si="6"/>
        <v>1.7131687242798355</v>
      </c>
      <c r="O65" s="192"/>
      <c r="P65" s="192">
        <f t="shared" si="2"/>
        <v>0</v>
      </c>
      <c r="Q65" s="192"/>
      <c r="R65" s="19">
        <f t="shared" si="3"/>
        <v>0</v>
      </c>
      <c r="S65" s="192">
        <f t="shared" si="4"/>
        <v>0</v>
      </c>
      <c r="T65" s="20">
        <v>2</v>
      </c>
      <c r="U65" s="20"/>
      <c r="V65" s="19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95">
        <v>300332</v>
      </c>
      <c r="B66" s="190" t="s">
        <v>67</v>
      </c>
      <c r="C66" s="237" t="s">
        <v>83</v>
      </c>
      <c r="D66" s="238"/>
      <c r="E66" s="194" t="s">
        <v>85</v>
      </c>
      <c r="F66" s="13"/>
      <c r="G66" s="110"/>
      <c r="H66" s="110"/>
      <c r="I66" s="110"/>
      <c r="J66" s="110"/>
      <c r="K66" s="192">
        <f t="shared" si="0"/>
        <v>0</v>
      </c>
      <c r="L66" s="192">
        <f t="shared" si="1"/>
        <v>0</v>
      </c>
      <c r="M66" s="192">
        <v>416.3</v>
      </c>
      <c r="N66" s="192">
        <f t="shared" si="6"/>
        <v>1.7131687242798355</v>
      </c>
      <c r="O66" s="192"/>
      <c r="P66" s="192">
        <f t="shared" si="2"/>
        <v>0</v>
      </c>
      <c r="Q66" s="192"/>
      <c r="R66" s="19">
        <f t="shared" si="3"/>
        <v>0</v>
      </c>
      <c r="S66" s="192">
        <f t="shared" si="4"/>
        <v>0</v>
      </c>
      <c r="T66" s="20">
        <v>2</v>
      </c>
      <c r="U66" s="20"/>
      <c r="V66" s="19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95">
        <v>300333</v>
      </c>
      <c r="B67" s="190" t="s">
        <v>67</v>
      </c>
      <c r="C67" s="237" t="s">
        <v>86</v>
      </c>
      <c r="D67" s="238"/>
      <c r="E67" s="194" t="s">
        <v>84</v>
      </c>
      <c r="F67" s="13"/>
      <c r="G67" s="110"/>
      <c r="H67" s="110"/>
      <c r="I67" s="110"/>
      <c r="J67" s="110"/>
      <c r="K67" s="192">
        <f t="shared" si="0"/>
        <v>0</v>
      </c>
      <c r="L67" s="192">
        <f t="shared" si="1"/>
        <v>0</v>
      </c>
      <c r="M67" s="192">
        <v>416.3</v>
      </c>
      <c r="N67" s="192">
        <f t="shared" si="6"/>
        <v>1.7131687242798355</v>
      </c>
      <c r="O67" s="192"/>
      <c r="P67" s="192">
        <f t="shared" si="2"/>
        <v>0</v>
      </c>
      <c r="Q67" s="192"/>
      <c r="R67" s="19">
        <f t="shared" si="3"/>
        <v>0</v>
      </c>
      <c r="S67" s="192">
        <f t="shared" si="4"/>
        <v>0</v>
      </c>
      <c r="T67" s="20">
        <v>2</v>
      </c>
      <c r="U67" s="20"/>
      <c r="V67" s="19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95">
        <v>300334</v>
      </c>
      <c r="B68" s="190" t="s">
        <v>67</v>
      </c>
      <c r="C68" s="237" t="s">
        <v>86</v>
      </c>
      <c r="D68" s="238"/>
      <c r="E68" s="194" t="s">
        <v>85</v>
      </c>
      <c r="F68" s="13"/>
      <c r="G68" s="110"/>
      <c r="H68" s="110"/>
      <c r="I68" s="110"/>
      <c r="J68" s="110"/>
      <c r="K68" s="192">
        <f t="shared" si="0"/>
        <v>0</v>
      </c>
      <c r="L68" s="192">
        <f t="shared" si="1"/>
        <v>0</v>
      </c>
      <c r="M68" s="192">
        <v>416.3</v>
      </c>
      <c r="N68" s="192">
        <f t="shared" si="6"/>
        <v>1.7131687242798355</v>
      </c>
      <c r="O68" s="192"/>
      <c r="P68" s="192">
        <f t="shared" si="2"/>
        <v>0</v>
      </c>
      <c r="Q68" s="192"/>
      <c r="R68" s="19">
        <f t="shared" si="3"/>
        <v>0</v>
      </c>
      <c r="S68" s="192">
        <f t="shared" si="4"/>
        <v>0</v>
      </c>
      <c r="T68" s="20">
        <v>2</v>
      </c>
      <c r="U68" s="20"/>
      <c r="V68" s="19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95">
        <v>300335</v>
      </c>
      <c r="B69" s="190" t="s">
        <v>67</v>
      </c>
      <c r="C69" s="237" t="s">
        <v>86</v>
      </c>
      <c r="D69" s="238"/>
      <c r="E69" s="194" t="s">
        <v>49</v>
      </c>
      <c r="F69" s="13"/>
      <c r="G69" s="110"/>
      <c r="H69" s="110"/>
      <c r="I69" s="110"/>
      <c r="J69" s="110"/>
      <c r="K69" s="192">
        <f t="shared" si="0"/>
        <v>0</v>
      </c>
      <c r="L69" s="192">
        <f t="shared" si="1"/>
        <v>0</v>
      </c>
      <c r="M69" s="192">
        <v>416.3</v>
      </c>
      <c r="N69" s="192">
        <f t="shared" si="6"/>
        <v>1.7131687242798355</v>
      </c>
      <c r="O69" s="192"/>
      <c r="P69" s="192">
        <f t="shared" si="2"/>
        <v>0</v>
      </c>
      <c r="Q69" s="192"/>
      <c r="R69" s="19">
        <f t="shared" si="3"/>
        <v>0</v>
      </c>
      <c r="S69" s="192">
        <f t="shared" si="4"/>
        <v>0</v>
      </c>
      <c r="T69" s="20">
        <v>2</v>
      </c>
      <c r="U69" s="20"/>
      <c r="V69" s="19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95">
        <v>300291</v>
      </c>
      <c r="B70" s="190" t="s">
        <v>87</v>
      </c>
      <c r="C70" s="226" t="s">
        <v>88</v>
      </c>
      <c r="D70" s="226" t="s">
        <v>89</v>
      </c>
      <c r="E70" s="194" t="s">
        <v>42</v>
      </c>
      <c r="F70" s="13"/>
      <c r="G70" s="110"/>
      <c r="H70" s="110"/>
      <c r="I70" s="110"/>
      <c r="J70" s="110"/>
      <c r="K70" s="192">
        <f t="shared" si="0"/>
        <v>0</v>
      </c>
      <c r="L70" s="192">
        <f t="shared" si="1"/>
        <v>0</v>
      </c>
      <c r="M70" s="192">
        <v>517.79999999999995</v>
      </c>
      <c r="N70" s="192">
        <f t="shared" si="6"/>
        <v>4.261728395061728</v>
      </c>
      <c r="O70" s="192"/>
      <c r="P70" s="192">
        <f t="shared" si="2"/>
        <v>0</v>
      </c>
      <c r="Q70" s="192"/>
      <c r="R70" s="19">
        <f t="shared" si="3"/>
        <v>0</v>
      </c>
      <c r="S70" s="192">
        <f t="shared" si="4"/>
        <v>0</v>
      </c>
      <c r="T70" s="20">
        <v>4</v>
      </c>
      <c r="U70" s="20"/>
      <c r="V70" s="19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95">
        <v>300292</v>
      </c>
      <c r="B71" s="190" t="s">
        <v>87</v>
      </c>
      <c r="C71" s="226" t="s">
        <v>88</v>
      </c>
      <c r="D71" s="226" t="s">
        <v>89</v>
      </c>
      <c r="E71" s="194" t="s">
        <v>41</v>
      </c>
      <c r="F71" s="13"/>
      <c r="G71" s="110"/>
      <c r="H71" s="110"/>
      <c r="I71" s="110"/>
      <c r="J71" s="110"/>
      <c r="K71" s="192">
        <f t="shared" si="0"/>
        <v>0</v>
      </c>
      <c r="L71" s="192">
        <f t="shared" si="1"/>
        <v>0</v>
      </c>
      <c r="M71" s="192">
        <v>517.79999999999995</v>
      </c>
      <c r="N71" s="192">
        <f>+M71*1000/(66.8*1*110*60)*T71</f>
        <v>4.6978769733260748</v>
      </c>
      <c r="O71" s="192"/>
      <c r="P71" s="192">
        <f t="shared" si="2"/>
        <v>0</v>
      </c>
      <c r="Q71" s="192"/>
      <c r="R71" s="19">
        <f t="shared" si="3"/>
        <v>0</v>
      </c>
      <c r="S71" s="192">
        <f t="shared" si="4"/>
        <v>0</v>
      </c>
      <c r="T71" s="20">
        <v>4</v>
      </c>
      <c r="U71" s="20"/>
      <c r="V71" s="19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95">
        <v>300293</v>
      </c>
      <c r="B72" s="190" t="s">
        <v>87</v>
      </c>
      <c r="C72" s="226" t="s">
        <v>88</v>
      </c>
      <c r="D72" s="226" t="s">
        <v>89</v>
      </c>
      <c r="E72" s="194" t="s">
        <v>57</v>
      </c>
      <c r="F72" s="13"/>
      <c r="G72" s="110"/>
      <c r="H72" s="110"/>
      <c r="I72" s="110"/>
      <c r="J72" s="110"/>
      <c r="K72" s="192">
        <f t="shared" si="0"/>
        <v>0</v>
      </c>
      <c r="L72" s="192">
        <f t="shared" si="1"/>
        <v>0</v>
      </c>
      <c r="M72" s="192">
        <v>517.9</v>
      </c>
      <c r="N72" s="192">
        <f>+M72*1000/(67.1*1*110*60)*T72</f>
        <v>4.6777762724111467</v>
      </c>
      <c r="O72" s="192"/>
      <c r="P72" s="192">
        <f t="shared" si="2"/>
        <v>0</v>
      </c>
      <c r="Q72" s="192"/>
      <c r="R72" s="19">
        <f t="shared" si="3"/>
        <v>0</v>
      </c>
      <c r="S72" s="192">
        <f t="shared" si="4"/>
        <v>0</v>
      </c>
      <c r="T72" s="20">
        <v>4</v>
      </c>
      <c r="U72" s="20"/>
      <c r="V72" s="19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95">
        <v>300290</v>
      </c>
      <c r="B73" s="190" t="s">
        <v>87</v>
      </c>
      <c r="C73" s="226" t="s">
        <v>88</v>
      </c>
      <c r="D73" s="226" t="s">
        <v>89</v>
      </c>
      <c r="E73" s="194" t="s">
        <v>35</v>
      </c>
      <c r="F73" s="13"/>
      <c r="G73" s="110"/>
      <c r="H73" s="110"/>
      <c r="I73" s="110"/>
      <c r="J73" s="110"/>
      <c r="K73" s="192">
        <f t="shared" si="0"/>
        <v>0</v>
      </c>
      <c r="L73" s="192">
        <f t="shared" si="1"/>
        <v>0</v>
      </c>
      <c r="M73" s="192">
        <v>520</v>
      </c>
      <c r="N73" s="192">
        <f>+M73*1000/(67.5*1*110*60)*T73</f>
        <v>4.6689113355780023</v>
      </c>
      <c r="O73" s="192"/>
      <c r="P73" s="192">
        <f t="shared" si="2"/>
        <v>0</v>
      </c>
      <c r="Q73" s="192"/>
      <c r="R73" s="19">
        <f t="shared" si="3"/>
        <v>0</v>
      </c>
      <c r="S73" s="192">
        <f t="shared" si="4"/>
        <v>0</v>
      </c>
      <c r="T73" s="20">
        <v>4</v>
      </c>
      <c r="U73" s="20"/>
      <c r="V73" s="19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95">
        <v>300058</v>
      </c>
      <c r="B75" s="190" t="s">
        <v>87</v>
      </c>
      <c r="C75" s="226" t="s">
        <v>91</v>
      </c>
      <c r="D75" s="226" t="s">
        <v>89</v>
      </c>
      <c r="E75" s="194" t="s">
        <v>42</v>
      </c>
      <c r="F75" s="13"/>
      <c r="G75" s="110"/>
      <c r="H75" s="110"/>
      <c r="I75" s="110"/>
      <c r="J75" s="110"/>
      <c r="K75" s="192">
        <f t="shared" si="0"/>
        <v>0</v>
      </c>
      <c r="L75" s="192">
        <f t="shared" si="1"/>
        <v>0</v>
      </c>
      <c r="M75" s="192">
        <v>419.2</v>
      </c>
      <c r="N75" s="192">
        <f>+M75*1000/(51.5*1*110*60)*T75</f>
        <v>4.9332156516622536</v>
      </c>
      <c r="O75" s="192"/>
      <c r="P75" s="192">
        <f t="shared" si="2"/>
        <v>0</v>
      </c>
      <c r="Q75" s="192"/>
      <c r="R75" s="19">
        <f t="shared" si="3"/>
        <v>0</v>
      </c>
      <c r="S75" s="192">
        <f t="shared" si="4"/>
        <v>0</v>
      </c>
      <c r="T75" s="20">
        <v>4</v>
      </c>
      <c r="U75" s="20"/>
      <c r="V75" s="19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95">
        <v>300061</v>
      </c>
      <c r="B76" s="190" t="s">
        <v>92</v>
      </c>
      <c r="C76" s="226" t="s">
        <v>93</v>
      </c>
      <c r="D76" s="226" t="s">
        <v>94</v>
      </c>
      <c r="E76" s="194" t="s">
        <v>41</v>
      </c>
      <c r="F76" s="13"/>
      <c r="G76" s="110"/>
      <c r="H76" s="110"/>
      <c r="I76" s="110"/>
      <c r="J76" s="110"/>
      <c r="K76" s="192">
        <f t="shared" si="0"/>
        <v>0</v>
      </c>
      <c r="L76" s="192">
        <f t="shared" si="1"/>
        <v>0</v>
      </c>
      <c r="M76" s="192">
        <v>418.4</v>
      </c>
      <c r="N76" s="192">
        <f>+M76*1000/(51*1*110*60)*T76</f>
        <v>4.9720736779560308</v>
      </c>
      <c r="O76" s="192"/>
      <c r="P76" s="192">
        <f t="shared" si="2"/>
        <v>0</v>
      </c>
      <c r="Q76" s="192"/>
      <c r="R76" s="19">
        <f t="shared" si="3"/>
        <v>0</v>
      </c>
      <c r="S76" s="192">
        <f t="shared" si="4"/>
        <v>0</v>
      </c>
      <c r="T76" s="20">
        <v>4</v>
      </c>
      <c r="U76" s="20"/>
      <c r="V76" s="19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95">
        <v>300064</v>
      </c>
      <c r="B77" s="190">
        <v>5002</v>
      </c>
      <c r="C77" s="226" t="s">
        <v>95</v>
      </c>
      <c r="D77" s="226" t="s">
        <v>96</v>
      </c>
      <c r="E77" s="194" t="s">
        <v>35</v>
      </c>
      <c r="F77" s="13"/>
      <c r="G77" s="110"/>
      <c r="H77" s="110"/>
      <c r="I77" s="110"/>
      <c r="J77" s="110"/>
      <c r="K77" s="192">
        <f t="shared" ref="K77:K153" si="7">G77*M77</f>
        <v>0</v>
      </c>
      <c r="L77" s="192">
        <f t="shared" ref="L77:L153" si="8">I77*M77</f>
        <v>0</v>
      </c>
      <c r="M77" s="192">
        <v>419.2</v>
      </c>
      <c r="N77" s="192">
        <f>+M77*1000/(51.9*1*110*60)*T77</f>
        <v>4.8951947217843168</v>
      </c>
      <c r="O77" s="192"/>
      <c r="P77" s="192">
        <f t="shared" ref="P77:P153" si="9">N77*I77+O77*U77</f>
        <v>0</v>
      </c>
      <c r="Q77" s="192"/>
      <c r="R77" s="19">
        <f t="shared" ref="R77:R153" si="10">Q77*U77</f>
        <v>0</v>
      </c>
      <c r="S77" s="192">
        <f t="shared" ref="S77:S153" si="11">R77-P77</f>
        <v>0</v>
      </c>
      <c r="T77" s="20">
        <v>4</v>
      </c>
      <c r="U77" s="20"/>
      <c r="V77" s="19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95">
        <v>300060</v>
      </c>
      <c r="B78" s="190" t="s">
        <v>87</v>
      </c>
      <c r="C78" s="226" t="s">
        <v>93</v>
      </c>
      <c r="D78" s="226" t="s">
        <v>97</v>
      </c>
      <c r="E78" s="194" t="s">
        <v>57</v>
      </c>
      <c r="F78" s="13"/>
      <c r="G78" s="110"/>
      <c r="H78" s="110"/>
      <c r="I78" s="110"/>
      <c r="J78" s="110"/>
      <c r="K78" s="192">
        <f t="shared" si="7"/>
        <v>0</v>
      </c>
      <c r="L78" s="192">
        <f t="shared" si="8"/>
        <v>0</v>
      </c>
      <c r="M78" s="192">
        <v>416.9</v>
      </c>
      <c r="N78" s="192">
        <f>+M78*1000/(51*1*110*60)*T78</f>
        <v>4.9542483660130721</v>
      </c>
      <c r="O78" s="192"/>
      <c r="P78" s="192">
        <f t="shared" si="9"/>
        <v>0</v>
      </c>
      <c r="Q78" s="192"/>
      <c r="R78" s="19">
        <f t="shared" si="10"/>
        <v>0</v>
      </c>
      <c r="S78" s="192">
        <f t="shared" si="11"/>
        <v>0</v>
      </c>
      <c r="T78" s="20">
        <v>4</v>
      </c>
      <c r="U78" s="20"/>
      <c r="V78" s="19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95">
        <v>300068</v>
      </c>
      <c r="B79" s="190" t="s">
        <v>87</v>
      </c>
      <c r="C79" s="226" t="s">
        <v>98</v>
      </c>
      <c r="D79" s="226" t="s">
        <v>99</v>
      </c>
      <c r="E79" s="194" t="s">
        <v>37</v>
      </c>
      <c r="F79" s="13"/>
      <c r="G79" s="110"/>
      <c r="H79" s="110"/>
      <c r="I79" s="110"/>
      <c r="J79" s="110"/>
      <c r="K79" s="192">
        <f t="shared" si="7"/>
        <v>0</v>
      </c>
      <c r="L79" s="192">
        <f t="shared" si="8"/>
        <v>0</v>
      </c>
      <c r="M79" s="192">
        <v>438.4</v>
      </c>
      <c r="N79" s="192">
        <f>+M79*1000/(50*1*120*60)*T79</f>
        <v>4.8711111111111114</v>
      </c>
      <c r="O79" s="192"/>
      <c r="P79" s="192">
        <f t="shared" si="9"/>
        <v>0</v>
      </c>
      <c r="Q79" s="192"/>
      <c r="R79" s="19">
        <f t="shared" si="10"/>
        <v>0</v>
      </c>
      <c r="S79" s="192">
        <f t="shared" si="11"/>
        <v>0</v>
      </c>
      <c r="T79" s="20">
        <v>4</v>
      </c>
      <c r="U79" s="20"/>
      <c r="V79" s="19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95">
        <v>300065</v>
      </c>
      <c r="B80" s="190" t="s">
        <v>87</v>
      </c>
      <c r="C80" s="226" t="s">
        <v>98</v>
      </c>
      <c r="D80" s="226" t="s">
        <v>99</v>
      </c>
      <c r="E80" s="194" t="s">
        <v>35</v>
      </c>
      <c r="F80" s="13"/>
      <c r="G80" s="110"/>
      <c r="H80" s="110"/>
      <c r="I80" s="110"/>
      <c r="J80" s="110"/>
      <c r="K80" s="192">
        <f t="shared" si="7"/>
        <v>0</v>
      </c>
      <c r="L80" s="192">
        <f t="shared" si="8"/>
        <v>0</v>
      </c>
      <c r="M80" s="192">
        <v>438.8</v>
      </c>
      <c r="N80" s="192">
        <f>+M80*1000/(50*1*120*60)*T80</f>
        <v>4.8755555555555556</v>
      </c>
      <c r="O80" s="192"/>
      <c r="P80" s="192">
        <f t="shared" si="9"/>
        <v>0</v>
      </c>
      <c r="Q80" s="192"/>
      <c r="R80" s="19">
        <f t="shared" si="10"/>
        <v>0</v>
      </c>
      <c r="S80" s="192">
        <f t="shared" si="11"/>
        <v>0</v>
      </c>
      <c r="T80" s="20">
        <v>4</v>
      </c>
      <c r="U80" s="195"/>
      <c r="V80" s="19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95">
        <v>300066</v>
      </c>
      <c r="B81" s="190" t="s">
        <v>87</v>
      </c>
      <c r="C81" s="226" t="s">
        <v>98</v>
      </c>
      <c r="D81" s="226" t="s">
        <v>99</v>
      </c>
      <c r="E81" s="194" t="s">
        <v>66</v>
      </c>
      <c r="F81" s="13"/>
      <c r="G81" s="110"/>
      <c r="H81" s="110"/>
      <c r="I81" s="110"/>
      <c r="J81" s="110"/>
      <c r="K81" s="192">
        <f t="shared" si="7"/>
        <v>0</v>
      </c>
      <c r="L81" s="192">
        <f t="shared" si="8"/>
        <v>0</v>
      </c>
      <c r="M81" s="192">
        <v>438.4</v>
      </c>
      <c r="N81" s="192">
        <f>+M81*1000/(50*1*120*60)*T81</f>
        <v>4.8711111111111114</v>
      </c>
      <c r="O81" s="192"/>
      <c r="P81" s="192">
        <f t="shared" si="9"/>
        <v>0</v>
      </c>
      <c r="Q81" s="192"/>
      <c r="R81" s="19">
        <f t="shared" si="10"/>
        <v>0</v>
      </c>
      <c r="S81" s="192">
        <f t="shared" si="11"/>
        <v>0</v>
      </c>
      <c r="T81" s="20">
        <v>4</v>
      </c>
      <c r="U81" s="195"/>
      <c r="V81" s="19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95">
        <v>300067</v>
      </c>
      <c r="B82" s="190" t="s">
        <v>87</v>
      </c>
      <c r="C82" s="226" t="s">
        <v>98</v>
      </c>
      <c r="D82" s="226" t="s">
        <v>99</v>
      </c>
      <c r="E82" s="194" t="s">
        <v>41</v>
      </c>
      <c r="F82" s="13"/>
      <c r="G82" s="110"/>
      <c r="H82" s="110"/>
      <c r="I82" s="110"/>
      <c r="J82" s="110"/>
      <c r="K82" s="192">
        <f t="shared" si="7"/>
        <v>0</v>
      </c>
      <c r="L82" s="192">
        <f t="shared" si="8"/>
        <v>0</v>
      </c>
      <c r="M82" s="192">
        <v>438.8</v>
      </c>
      <c r="N82" s="192">
        <f>+M82*1000/(50*1*120*60)*T82</f>
        <v>4.8755555555555556</v>
      </c>
      <c r="O82" s="192"/>
      <c r="P82" s="192">
        <f t="shared" si="9"/>
        <v>0</v>
      </c>
      <c r="Q82" s="192"/>
      <c r="R82" s="19">
        <f t="shared" si="10"/>
        <v>0</v>
      </c>
      <c r="S82" s="192">
        <f t="shared" si="11"/>
        <v>0</v>
      </c>
      <c r="T82" s="20">
        <v>4</v>
      </c>
      <c r="U82" s="20"/>
      <c r="V82" s="19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203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95">
        <v>300384</v>
      </c>
      <c r="B84" s="190" t="s">
        <v>87</v>
      </c>
      <c r="C84" s="226" t="s">
        <v>100</v>
      </c>
      <c r="D84" s="226" t="s">
        <v>101</v>
      </c>
      <c r="E84" s="194" t="s">
        <v>35</v>
      </c>
      <c r="F84" s="196"/>
      <c r="G84" s="110"/>
      <c r="H84" s="110"/>
      <c r="I84" s="110"/>
      <c r="J84" s="110"/>
      <c r="K84" s="192">
        <f t="shared" si="7"/>
        <v>0</v>
      </c>
      <c r="L84" s="192">
        <f t="shared" si="8"/>
        <v>0</v>
      </c>
      <c r="M84" s="192">
        <v>415.5</v>
      </c>
      <c r="N84" s="15">
        <f>+M84*1000/(51*1*110*60)*T84</f>
        <v>8.6408199643493759</v>
      </c>
      <c r="O84" s="192"/>
      <c r="P84" s="192">
        <f t="shared" si="9"/>
        <v>0</v>
      </c>
      <c r="Q84" s="192"/>
      <c r="R84" s="19">
        <f t="shared" si="10"/>
        <v>0</v>
      </c>
      <c r="S84" s="192">
        <f t="shared" si="11"/>
        <v>0</v>
      </c>
      <c r="T84" s="20">
        <v>7</v>
      </c>
      <c r="U84" s="20"/>
      <c r="V84" s="19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95">
        <v>300383</v>
      </c>
      <c r="B85" s="190" t="s">
        <v>87</v>
      </c>
      <c r="C85" s="226" t="s">
        <v>100</v>
      </c>
      <c r="D85" s="226" t="s">
        <v>102</v>
      </c>
      <c r="E85" s="194" t="s">
        <v>41</v>
      </c>
      <c r="F85" s="196"/>
      <c r="G85" s="110"/>
      <c r="H85" s="110"/>
      <c r="I85" s="110"/>
      <c r="J85" s="110"/>
      <c r="K85" s="192">
        <f t="shared" si="7"/>
        <v>0</v>
      </c>
      <c r="L85" s="192">
        <f t="shared" si="8"/>
        <v>0</v>
      </c>
      <c r="M85" s="192">
        <v>415.5</v>
      </c>
      <c r="N85" s="15">
        <f>+M85*1000/(51*1*110*60)*T85</f>
        <v>8.6408199643493759</v>
      </c>
      <c r="O85" s="192"/>
      <c r="P85" s="192">
        <f t="shared" si="9"/>
        <v>0</v>
      </c>
      <c r="Q85" s="192"/>
      <c r="R85" s="19">
        <f t="shared" si="10"/>
        <v>0</v>
      </c>
      <c r="S85" s="192">
        <f t="shared" si="11"/>
        <v>0</v>
      </c>
      <c r="T85" s="20">
        <v>7</v>
      </c>
      <c r="U85" s="20"/>
      <c r="V85" s="19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95">
        <v>300386</v>
      </c>
      <c r="B86" s="190" t="s">
        <v>87</v>
      </c>
      <c r="C86" s="226" t="s">
        <v>100</v>
      </c>
      <c r="D86" s="226" t="s">
        <v>103</v>
      </c>
      <c r="E86" s="194" t="s">
        <v>66</v>
      </c>
      <c r="F86" s="196"/>
      <c r="G86" s="110"/>
      <c r="H86" s="110"/>
      <c r="I86" s="110"/>
      <c r="J86" s="110"/>
      <c r="K86" s="192">
        <f t="shared" si="7"/>
        <v>0</v>
      </c>
      <c r="L86" s="192">
        <f t="shared" si="8"/>
        <v>0</v>
      </c>
      <c r="M86" s="192">
        <v>415.5</v>
      </c>
      <c r="N86" s="15">
        <f>+M86*1000/(51*1*110*60)*T86</f>
        <v>8.6408199643493759</v>
      </c>
      <c r="O86" s="192"/>
      <c r="P86" s="192">
        <f t="shared" si="9"/>
        <v>0</v>
      </c>
      <c r="Q86" s="192"/>
      <c r="R86" s="19">
        <f t="shared" si="10"/>
        <v>0</v>
      </c>
      <c r="S86" s="192">
        <f t="shared" si="11"/>
        <v>0</v>
      </c>
      <c r="T86" s="20">
        <v>7</v>
      </c>
      <c r="U86" s="20"/>
      <c r="V86" s="19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95">
        <v>300385</v>
      </c>
      <c r="B87" s="190" t="s">
        <v>87</v>
      </c>
      <c r="C87" s="226" t="s">
        <v>100</v>
      </c>
      <c r="D87" s="226" t="s">
        <v>104</v>
      </c>
      <c r="E87" s="194" t="s">
        <v>105</v>
      </c>
      <c r="F87" s="196"/>
      <c r="G87" s="110"/>
      <c r="H87" s="110"/>
      <c r="I87" s="110"/>
      <c r="J87" s="110"/>
      <c r="K87" s="192">
        <f t="shared" si="7"/>
        <v>0</v>
      </c>
      <c r="L87" s="192">
        <f t="shared" si="8"/>
        <v>0</v>
      </c>
      <c r="M87" s="192">
        <v>415.5</v>
      </c>
      <c r="N87" s="15">
        <f>+M87*1000/(51*1*110*60)*T87</f>
        <v>8.6408199643493759</v>
      </c>
      <c r="O87" s="192"/>
      <c r="P87" s="192">
        <f t="shared" si="9"/>
        <v>0</v>
      </c>
      <c r="Q87" s="192"/>
      <c r="R87" s="19">
        <f t="shared" si="10"/>
        <v>0</v>
      </c>
      <c r="S87" s="192">
        <f t="shared" si="11"/>
        <v>0</v>
      </c>
      <c r="T87" s="20">
        <v>7</v>
      </c>
      <c r="U87" s="20"/>
      <c r="V87" s="19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95">
        <v>300352</v>
      </c>
      <c r="B88" s="190" t="s">
        <v>87</v>
      </c>
      <c r="C88" s="226" t="s">
        <v>106</v>
      </c>
      <c r="D88" s="226" t="s">
        <v>101</v>
      </c>
      <c r="E88" s="194" t="s">
        <v>35</v>
      </c>
      <c r="F88" s="13"/>
      <c r="G88" s="110"/>
      <c r="H88" s="110"/>
      <c r="I88" s="110"/>
      <c r="J88" s="110"/>
      <c r="K88" s="192">
        <f t="shared" si="7"/>
        <v>0</v>
      </c>
      <c r="L88" s="192">
        <f t="shared" si="8"/>
        <v>0</v>
      </c>
      <c r="M88" s="192">
        <v>515.9</v>
      </c>
      <c r="N88" s="192">
        <f>+M88*1000/(80*1*110*60)*T88</f>
        <v>6.8395833333333336</v>
      </c>
      <c r="O88" s="192"/>
      <c r="P88" s="192">
        <f t="shared" si="9"/>
        <v>0</v>
      </c>
      <c r="Q88" s="192"/>
      <c r="R88" s="19">
        <f t="shared" si="10"/>
        <v>0</v>
      </c>
      <c r="S88" s="192">
        <f t="shared" si="11"/>
        <v>0</v>
      </c>
      <c r="T88" s="20">
        <v>7</v>
      </c>
      <c r="U88" s="20"/>
      <c r="V88" s="19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95">
        <v>300353</v>
      </c>
      <c r="B89" s="190" t="s">
        <v>87</v>
      </c>
      <c r="C89" s="226" t="s">
        <v>106</v>
      </c>
      <c r="D89" s="226" t="s">
        <v>101</v>
      </c>
      <c r="E89" s="194" t="s">
        <v>105</v>
      </c>
      <c r="F89" s="13"/>
      <c r="G89" s="110"/>
      <c r="H89" s="110"/>
      <c r="I89" s="110"/>
      <c r="J89" s="110"/>
      <c r="K89" s="192">
        <f t="shared" si="7"/>
        <v>0</v>
      </c>
      <c r="L89" s="192">
        <f t="shared" si="8"/>
        <v>0</v>
      </c>
      <c r="M89" s="192">
        <v>515.9</v>
      </c>
      <c r="N89" s="192">
        <f>+M89*1000/(80*1*110*60)*T89</f>
        <v>6.8395833333333336</v>
      </c>
      <c r="O89" s="192"/>
      <c r="P89" s="192">
        <f t="shared" si="9"/>
        <v>0</v>
      </c>
      <c r="Q89" s="192"/>
      <c r="R89" s="19">
        <f t="shared" si="10"/>
        <v>0</v>
      </c>
      <c r="S89" s="192">
        <f t="shared" si="11"/>
        <v>0</v>
      </c>
      <c r="T89" s="20">
        <v>7</v>
      </c>
      <c r="U89" s="20"/>
      <c r="V89" s="19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95">
        <v>300351</v>
      </c>
      <c r="B90" s="190" t="s">
        <v>87</v>
      </c>
      <c r="C90" s="226" t="s">
        <v>106</v>
      </c>
      <c r="D90" s="226" t="s">
        <v>101</v>
      </c>
      <c r="E90" s="194" t="s">
        <v>41</v>
      </c>
      <c r="F90" s="13"/>
      <c r="G90" s="110"/>
      <c r="H90" s="110"/>
      <c r="I90" s="110"/>
      <c r="J90" s="110"/>
      <c r="K90" s="192">
        <f t="shared" si="7"/>
        <v>0</v>
      </c>
      <c r="L90" s="192">
        <f t="shared" si="8"/>
        <v>0</v>
      </c>
      <c r="M90" s="192">
        <v>515.9</v>
      </c>
      <c r="N90" s="192">
        <f>+M90*1000/(80*1*110*60)*T90</f>
        <v>6.8395833333333336</v>
      </c>
      <c r="O90" s="192"/>
      <c r="P90" s="192">
        <f t="shared" si="9"/>
        <v>0</v>
      </c>
      <c r="Q90" s="192"/>
      <c r="R90" s="19">
        <f t="shared" si="10"/>
        <v>0</v>
      </c>
      <c r="S90" s="192">
        <f t="shared" si="11"/>
        <v>0</v>
      </c>
      <c r="T90" s="20">
        <v>7</v>
      </c>
      <c r="U90" s="20"/>
      <c r="V90" s="19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95">
        <v>300354</v>
      </c>
      <c r="B91" s="190" t="s">
        <v>87</v>
      </c>
      <c r="C91" s="226" t="s">
        <v>106</v>
      </c>
      <c r="D91" s="226" t="s">
        <v>101</v>
      </c>
      <c r="E91" s="194" t="s">
        <v>66</v>
      </c>
      <c r="F91" s="13"/>
      <c r="G91" s="110"/>
      <c r="H91" s="110"/>
      <c r="I91" s="110"/>
      <c r="J91" s="110"/>
      <c r="K91" s="192">
        <f t="shared" si="7"/>
        <v>0</v>
      </c>
      <c r="L91" s="192">
        <f t="shared" si="8"/>
        <v>0</v>
      </c>
      <c r="M91" s="192">
        <v>515.9</v>
      </c>
      <c r="N91" s="192">
        <f>+M91*1000/(80*1*110*60)*T91</f>
        <v>6.8395833333333336</v>
      </c>
      <c r="O91" s="192"/>
      <c r="P91" s="192">
        <f t="shared" si="9"/>
        <v>0</v>
      </c>
      <c r="Q91" s="192"/>
      <c r="R91" s="19">
        <f t="shared" si="10"/>
        <v>0</v>
      </c>
      <c r="S91" s="192">
        <f t="shared" si="11"/>
        <v>0</v>
      </c>
      <c r="T91" s="20">
        <v>7</v>
      </c>
      <c r="U91" s="20"/>
      <c r="V91" s="19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95">
        <v>300250</v>
      </c>
      <c r="B92" s="190" t="s">
        <v>87</v>
      </c>
      <c r="C92" s="226" t="s">
        <v>107</v>
      </c>
      <c r="D92" s="226" t="s">
        <v>101</v>
      </c>
      <c r="E92" s="194" t="s">
        <v>35</v>
      </c>
      <c r="F92" s="13"/>
      <c r="G92" s="110"/>
      <c r="H92" s="110"/>
      <c r="I92" s="110"/>
      <c r="J92" s="110"/>
      <c r="K92" s="192">
        <f t="shared" si="7"/>
        <v>0</v>
      </c>
      <c r="L92" s="192">
        <f t="shared" si="8"/>
        <v>0</v>
      </c>
      <c r="M92" s="192">
        <v>412.5</v>
      </c>
      <c r="N92" s="192">
        <f>+M92*1000/(84*1*110*60)*T92</f>
        <v>5.2083333333333339</v>
      </c>
      <c r="O92" s="192"/>
      <c r="P92" s="192">
        <f t="shared" si="9"/>
        <v>0</v>
      </c>
      <c r="Q92" s="192"/>
      <c r="R92" s="19">
        <f t="shared" si="10"/>
        <v>0</v>
      </c>
      <c r="S92" s="192">
        <f t="shared" si="11"/>
        <v>0</v>
      </c>
      <c r="T92" s="20">
        <v>7</v>
      </c>
      <c r="U92" s="20"/>
      <c r="V92" s="19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95">
        <v>300251</v>
      </c>
      <c r="B93" s="190" t="s">
        <v>87</v>
      </c>
      <c r="C93" s="226" t="s">
        <v>107</v>
      </c>
      <c r="D93" s="226" t="s">
        <v>101</v>
      </c>
      <c r="E93" s="194" t="s">
        <v>105</v>
      </c>
      <c r="F93" s="13"/>
      <c r="G93" s="110"/>
      <c r="H93" s="110"/>
      <c r="I93" s="110"/>
      <c r="J93" s="110"/>
      <c r="K93" s="192">
        <f t="shared" si="7"/>
        <v>0</v>
      </c>
      <c r="L93" s="192">
        <f t="shared" si="8"/>
        <v>0</v>
      </c>
      <c r="M93" s="192">
        <v>412.5</v>
      </c>
      <c r="N93" s="192">
        <f>+M93*1000/(84*1*110*60)*T93</f>
        <v>5.2083333333333339</v>
      </c>
      <c r="O93" s="192"/>
      <c r="P93" s="192">
        <f t="shared" si="9"/>
        <v>0</v>
      </c>
      <c r="Q93" s="192"/>
      <c r="R93" s="19">
        <f t="shared" si="10"/>
        <v>0</v>
      </c>
      <c r="S93" s="192">
        <f t="shared" si="11"/>
        <v>0</v>
      </c>
      <c r="T93" s="20">
        <v>7</v>
      </c>
      <c r="U93" s="20"/>
      <c r="V93" s="19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95">
        <v>300254</v>
      </c>
      <c r="B94" s="190" t="s">
        <v>87</v>
      </c>
      <c r="C94" s="226" t="s">
        <v>107</v>
      </c>
      <c r="D94" s="226" t="s">
        <v>101</v>
      </c>
      <c r="E94" s="194" t="s">
        <v>41</v>
      </c>
      <c r="F94" s="13"/>
      <c r="G94" s="110"/>
      <c r="H94" s="110"/>
      <c r="I94" s="110"/>
      <c r="J94" s="110"/>
      <c r="K94" s="192">
        <f t="shared" si="7"/>
        <v>0</v>
      </c>
      <c r="L94" s="192">
        <f t="shared" si="8"/>
        <v>0</v>
      </c>
      <c r="M94" s="192">
        <v>412.5</v>
      </c>
      <c r="N94" s="192">
        <f>+M94*1000/(84*1*110*60)*T94</f>
        <v>5.2083333333333339</v>
      </c>
      <c r="O94" s="192"/>
      <c r="P94" s="192">
        <f t="shared" si="9"/>
        <v>0</v>
      </c>
      <c r="Q94" s="192"/>
      <c r="R94" s="19">
        <f t="shared" si="10"/>
        <v>0</v>
      </c>
      <c r="S94" s="192">
        <f t="shared" si="11"/>
        <v>0</v>
      </c>
      <c r="T94" s="20">
        <v>7</v>
      </c>
      <c r="U94" s="20"/>
      <c r="V94" s="19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95">
        <v>300253</v>
      </c>
      <c r="B95" s="190" t="s">
        <v>87</v>
      </c>
      <c r="C95" s="226" t="s">
        <v>107</v>
      </c>
      <c r="D95" s="226" t="s">
        <v>101</v>
      </c>
      <c r="E95" s="194" t="s">
        <v>66</v>
      </c>
      <c r="F95" s="13"/>
      <c r="G95" s="110"/>
      <c r="H95" s="110"/>
      <c r="I95" s="110"/>
      <c r="J95" s="110"/>
      <c r="K95" s="192">
        <f t="shared" si="7"/>
        <v>0</v>
      </c>
      <c r="L95" s="192">
        <f t="shared" si="8"/>
        <v>0</v>
      </c>
      <c r="M95" s="192">
        <v>412.5</v>
      </c>
      <c r="N95" s="192">
        <f>+M95*1000/(84*1*110*60)*T95</f>
        <v>5.2083333333333339</v>
      </c>
      <c r="O95" s="192"/>
      <c r="P95" s="192">
        <f t="shared" si="9"/>
        <v>0</v>
      </c>
      <c r="Q95" s="192"/>
      <c r="R95" s="19">
        <f t="shared" si="10"/>
        <v>0</v>
      </c>
      <c r="S95" s="192">
        <f t="shared" si="11"/>
        <v>0</v>
      </c>
      <c r="T95" s="20">
        <v>7</v>
      </c>
      <c r="U95" s="20"/>
      <c r="V95" s="19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95">
        <v>300255</v>
      </c>
      <c r="B96" s="190" t="s">
        <v>87</v>
      </c>
      <c r="C96" s="226" t="s">
        <v>107</v>
      </c>
      <c r="D96" s="226" t="s">
        <v>101</v>
      </c>
      <c r="E96" s="194" t="s">
        <v>108</v>
      </c>
      <c r="F96" s="13"/>
      <c r="G96" s="110"/>
      <c r="H96" s="110"/>
      <c r="I96" s="110"/>
      <c r="J96" s="110"/>
      <c r="K96" s="192">
        <f t="shared" si="7"/>
        <v>0</v>
      </c>
      <c r="L96" s="192">
        <f t="shared" si="8"/>
        <v>0</v>
      </c>
      <c r="M96" s="192">
        <v>412.5</v>
      </c>
      <c r="N96" s="192">
        <f>+M96*1000/(84*1*110*60)*T96</f>
        <v>5.2083333333333339</v>
      </c>
      <c r="O96" s="192"/>
      <c r="P96" s="192">
        <f t="shared" si="9"/>
        <v>0</v>
      </c>
      <c r="Q96" s="192"/>
      <c r="R96" s="19">
        <f t="shared" si="10"/>
        <v>0</v>
      </c>
      <c r="S96" s="192">
        <f t="shared" si="11"/>
        <v>0</v>
      </c>
      <c r="T96" s="20">
        <v>7</v>
      </c>
      <c r="U96" s="20"/>
      <c r="V96" s="19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95">
        <v>300088</v>
      </c>
      <c r="B98" s="190" t="s">
        <v>87</v>
      </c>
      <c r="C98" s="226" t="s">
        <v>110</v>
      </c>
      <c r="D98" s="226" t="s">
        <v>111</v>
      </c>
      <c r="E98" s="194" t="s">
        <v>39</v>
      </c>
      <c r="F98" s="13"/>
      <c r="G98" s="110"/>
      <c r="H98" s="110"/>
      <c r="I98" s="110"/>
      <c r="J98" s="110"/>
      <c r="K98" s="192">
        <f t="shared" si="7"/>
        <v>0</v>
      </c>
      <c r="L98" s="192">
        <f t="shared" si="8"/>
        <v>0</v>
      </c>
      <c r="M98" s="192">
        <v>617.79999999999995</v>
      </c>
      <c r="N98" s="192">
        <f>+M98*1000/(123*1*80*60)*T98</f>
        <v>3.1392276422764223</v>
      </c>
      <c r="O98" s="192"/>
      <c r="P98" s="192">
        <f t="shared" si="9"/>
        <v>0</v>
      </c>
      <c r="Q98" s="192"/>
      <c r="R98" s="19">
        <f t="shared" si="10"/>
        <v>0</v>
      </c>
      <c r="S98" s="192">
        <f t="shared" si="11"/>
        <v>0</v>
      </c>
      <c r="T98" s="20">
        <v>3</v>
      </c>
      <c r="U98" s="20"/>
      <c r="V98" s="19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95">
        <v>300089</v>
      </c>
      <c r="B99" s="190" t="s">
        <v>87</v>
      </c>
      <c r="C99" s="226" t="s">
        <v>110</v>
      </c>
      <c r="D99" s="226" t="s">
        <v>111</v>
      </c>
      <c r="E99" s="194" t="s">
        <v>42</v>
      </c>
      <c r="F99" s="13"/>
      <c r="G99" s="110"/>
      <c r="H99" s="110"/>
      <c r="I99" s="110"/>
      <c r="J99" s="110"/>
      <c r="K99" s="192">
        <f t="shared" si="7"/>
        <v>0</v>
      </c>
      <c r="L99" s="192">
        <f t="shared" si="8"/>
        <v>0</v>
      </c>
      <c r="M99" s="192">
        <v>618.6</v>
      </c>
      <c r="N99" s="192">
        <f>+M99*1000/(124*1*80*60)*T99</f>
        <v>3.117943548387097</v>
      </c>
      <c r="O99" s="192"/>
      <c r="P99" s="192">
        <f t="shared" si="9"/>
        <v>0</v>
      </c>
      <c r="Q99" s="192"/>
      <c r="R99" s="19">
        <f t="shared" si="10"/>
        <v>0</v>
      </c>
      <c r="S99" s="192">
        <f t="shared" si="11"/>
        <v>0</v>
      </c>
      <c r="T99" s="20">
        <v>3</v>
      </c>
      <c r="U99" s="20"/>
      <c r="V99" s="19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95">
        <v>300128</v>
      </c>
      <c r="B100" s="190" t="s">
        <v>87</v>
      </c>
      <c r="C100" s="226" t="s">
        <v>112</v>
      </c>
      <c r="D100" s="226" t="s">
        <v>113</v>
      </c>
      <c r="E100" s="194" t="s">
        <v>35</v>
      </c>
      <c r="F100" s="13"/>
      <c r="G100" s="110"/>
      <c r="H100" s="110"/>
      <c r="I100" s="110"/>
      <c r="J100" s="110"/>
      <c r="K100" s="192">
        <f t="shared" si="7"/>
        <v>0</v>
      </c>
      <c r="L100" s="192">
        <f t="shared" si="8"/>
        <v>0</v>
      </c>
      <c r="M100" s="192">
        <v>621.29999999999995</v>
      </c>
      <c r="N100" s="192">
        <f t="shared" ref="N100:N105" si="12">+M100*1000/(130.5*1*80*60)*T100</f>
        <v>3.9674329501915708</v>
      </c>
      <c r="O100" s="192"/>
      <c r="P100" s="192">
        <f t="shared" si="9"/>
        <v>0</v>
      </c>
      <c r="Q100" s="192"/>
      <c r="R100" s="19">
        <f t="shared" si="10"/>
        <v>0</v>
      </c>
      <c r="S100" s="192">
        <f t="shared" si="11"/>
        <v>0</v>
      </c>
      <c r="T100" s="20">
        <v>4</v>
      </c>
      <c r="U100" s="20"/>
      <c r="V100" s="19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95">
        <v>300129</v>
      </c>
      <c r="B101" s="190" t="s">
        <v>87</v>
      </c>
      <c r="C101" s="226" t="s">
        <v>112</v>
      </c>
      <c r="D101" s="226" t="s">
        <v>113</v>
      </c>
      <c r="E101" s="194" t="s">
        <v>41</v>
      </c>
      <c r="F101" s="13"/>
      <c r="G101" s="110"/>
      <c r="H101" s="110"/>
      <c r="I101" s="110"/>
      <c r="J101" s="110"/>
      <c r="K101" s="192">
        <f t="shared" si="7"/>
        <v>0</v>
      </c>
      <c r="L101" s="192">
        <f t="shared" si="8"/>
        <v>0</v>
      </c>
      <c r="M101" s="192">
        <v>621.29999999999995</v>
      </c>
      <c r="N101" s="192">
        <f t="shared" si="12"/>
        <v>3.9674329501915708</v>
      </c>
      <c r="O101" s="192"/>
      <c r="P101" s="192">
        <f t="shared" si="9"/>
        <v>0</v>
      </c>
      <c r="Q101" s="192"/>
      <c r="R101" s="19">
        <f t="shared" si="10"/>
        <v>0</v>
      </c>
      <c r="S101" s="192">
        <f t="shared" si="11"/>
        <v>0</v>
      </c>
      <c r="T101" s="20">
        <v>4</v>
      </c>
      <c r="U101" s="20"/>
      <c r="V101" s="19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95">
        <v>300130</v>
      </c>
      <c r="B102" s="190" t="s">
        <v>87</v>
      </c>
      <c r="C102" s="226" t="s">
        <v>112</v>
      </c>
      <c r="D102" s="226" t="s">
        <v>113</v>
      </c>
      <c r="E102" s="194" t="s">
        <v>37</v>
      </c>
      <c r="F102" s="13"/>
      <c r="G102" s="110"/>
      <c r="H102" s="110"/>
      <c r="I102" s="110"/>
      <c r="J102" s="110"/>
      <c r="K102" s="192">
        <f t="shared" si="7"/>
        <v>0</v>
      </c>
      <c r="L102" s="192">
        <f t="shared" si="8"/>
        <v>0</v>
      </c>
      <c r="M102" s="192">
        <v>621.29999999999995</v>
      </c>
      <c r="N102" s="192">
        <f t="shared" si="12"/>
        <v>3.9674329501915708</v>
      </c>
      <c r="O102" s="192"/>
      <c r="P102" s="192">
        <f t="shared" si="9"/>
        <v>0</v>
      </c>
      <c r="Q102" s="192"/>
      <c r="R102" s="19">
        <f t="shared" si="10"/>
        <v>0</v>
      </c>
      <c r="S102" s="192">
        <f t="shared" si="11"/>
        <v>0</v>
      </c>
      <c r="T102" s="20">
        <v>4</v>
      </c>
      <c r="U102" s="20"/>
      <c r="V102" s="19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95">
        <v>300423</v>
      </c>
      <c r="B103" s="190" t="s">
        <v>300</v>
      </c>
      <c r="C103" s="237" t="s">
        <v>296</v>
      </c>
      <c r="D103" s="238"/>
      <c r="E103" s="194" t="s">
        <v>297</v>
      </c>
      <c r="F103" s="13"/>
      <c r="G103" s="110"/>
      <c r="H103" s="110"/>
      <c r="I103" s="110"/>
      <c r="J103" s="110"/>
      <c r="K103" s="192">
        <f t="shared" si="7"/>
        <v>0</v>
      </c>
      <c r="L103" s="192">
        <f t="shared" si="8"/>
        <v>0</v>
      </c>
      <c r="M103" s="192">
        <v>524.1</v>
      </c>
      <c r="N103" s="192">
        <f t="shared" si="12"/>
        <v>3.3467432950191571</v>
      </c>
      <c r="O103" s="192"/>
      <c r="P103" s="192">
        <f t="shared" si="9"/>
        <v>0</v>
      </c>
      <c r="Q103" s="192"/>
      <c r="R103" s="19">
        <f t="shared" si="10"/>
        <v>0</v>
      </c>
      <c r="S103" s="192">
        <f t="shared" si="11"/>
        <v>0</v>
      </c>
      <c r="T103" s="20">
        <v>4</v>
      </c>
      <c r="U103" s="20"/>
      <c r="V103" s="19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95">
        <v>300424</v>
      </c>
      <c r="B104" s="190" t="s">
        <v>300</v>
      </c>
      <c r="C104" s="237" t="s">
        <v>296</v>
      </c>
      <c r="D104" s="238"/>
      <c r="E104" s="194" t="s">
        <v>298</v>
      </c>
      <c r="F104" s="13"/>
      <c r="G104" s="110"/>
      <c r="H104" s="110"/>
      <c r="I104" s="110"/>
      <c r="J104" s="110"/>
      <c r="K104" s="192">
        <f t="shared" si="7"/>
        <v>0</v>
      </c>
      <c r="L104" s="192">
        <f t="shared" si="8"/>
        <v>0</v>
      </c>
      <c r="M104" s="192">
        <v>524.1</v>
      </c>
      <c r="N104" s="192">
        <f t="shared" si="12"/>
        <v>3.3467432950191571</v>
      </c>
      <c r="O104" s="192"/>
      <c r="P104" s="192">
        <f t="shared" si="9"/>
        <v>0</v>
      </c>
      <c r="Q104" s="192"/>
      <c r="R104" s="19">
        <f t="shared" si="10"/>
        <v>0</v>
      </c>
      <c r="S104" s="192">
        <f t="shared" si="11"/>
        <v>0</v>
      </c>
      <c r="T104" s="20">
        <v>4</v>
      </c>
      <c r="U104" s="20"/>
      <c r="V104" s="19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95">
        <v>300425</v>
      </c>
      <c r="B105" s="190" t="s">
        <v>300</v>
      </c>
      <c r="C105" s="237" t="s">
        <v>296</v>
      </c>
      <c r="D105" s="238"/>
      <c r="E105" s="194" t="s">
        <v>299</v>
      </c>
      <c r="F105" s="13"/>
      <c r="G105" s="110"/>
      <c r="H105" s="110"/>
      <c r="I105" s="110"/>
      <c r="J105" s="110"/>
      <c r="K105" s="192">
        <f t="shared" si="7"/>
        <v>0</v>
      </c>
      <c r="L105" s="192">
        <f t="shared" si="8"/>
        <v>0</v>
      </c>
      <c r="M105" s="192">
        <v>524.1</v>
      </c>
      <c r="N105" s="192">
        <f t="shared" si="12"/>
        <v>3.3467432950191571</v>
      </c>
      <c r="O105" s="192"/>
      <c r="P105" s="192">
        <f t="shared" si="9"/>
        <v>0</v>
      </c>
      <c r="Q105" s="192"/>
      <c r="R105" s="19">
        <f t="shared" si="10"/>
        <v>0</v>
      </c>
      <c r="S105" s="192">
        <f t="shared" si="11"/>
        <v>0</v>
      </c>
      <c r="T105" s="20">
        <v>4</v>
      </c>
      <c r="U105" s="20"/>
      <c r="V105" s="19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90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90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90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90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90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95">
        <v>300074</v>
      </c>
      <c r="B111" s="190" t="s">
        <v>118</v>
      </c>
      <c r="C111" s="226" t="s">
        <v>119</v>
      </c>
      <c r="D111" s="226" t="s">
        <v>120</v>
      </c>
      <c r="E111" s="194" t="s">
        <v>54</v>
      </c>
      <c r="F111" s="13"/>
      <c r="G111" s="110"/>
      <c r="H111" s="110"/>
      <c r="I111" s="110"/>
      <c r="J111" s="110"/>
      <c r="K111" s="192">
        <f t="shared" si="7"/>
        <v>0</v>
      </c>
      <c r="L111" s="192">
        <f t="shared" si="8"/>
        <v>0</v>
      </c>
      <c r="M111" s="192">
        <v>290.8</v>
      </c>
      <c r="N111" s="192">
        <f>+M111*1000/(88*4*13*60)*T111</f>
        <v>3.1774475524475525</v>
      </c>
      <c r="O111" s="192"/>
      <c r="P111" s="192">
        <f t="shared" si="9"/>
        <v>0</v>
      </c>
      <c r="Q111" s="192"/>
      <c r="R111" s="19">
        <f t="shared" si="10"/>
        <v>0</v>
      </c>
      <c r="S111" s="192">
        <f t="shared" si="11"/>
        <v>0</v>
      </c>
      <c r="T111" s="20">
        <v>3</v>
      </c>
      <c r="U111" s="20"/>
      <c r="V111" s="19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95">
        <v>300076</v>
      </c>
      <c r="B112" s="190" t="s">
        <v>118</v>
      </c>
      <c r="C112" s="226" t="s">
        <v>119</v>
      </c>
      <c r="D112" s="226" t="s">
        <v>120</v>
      </c>
      <c r="E112" s="194" t="s">
        <v>35</v>
      </c>
      <c r="F112" s="13"/>
      <c r="G112" s="110"/>
      <c r="H112" s="110"/>
      <c r="I112" s="110"/>
      <c r="J112" s="110"/>
      <c r="K112" s="192">
        <f t="shared" si="7"/>
        <v>0</v>
      </c>
      <c r="L112" s="192">
        <f t="shared" si="8"/>
        <v>0</v>
      </c>
      <c r="M112" s="192">
        <v>303.10000000000002</v>
      </c>
      <c r="N112" s="192">
        <f>+M112*1000/(88*4*12*60)*T112</f>
        <v>4.7837752525252526</v>
      </c>
      <c r="O112" s="192"/>
      <c r="P112" s="192">
        <f t="shared" si="9"/>
        <v>0</v>
      </c>
      <c r="Q112" s="192"/>
      <c r="R112" s="19">
        <f t="shared" si="10"/>
        <v>0</v>
      </c>
      <c r="S112" s="192">
        <f t="shared" si="11"/>
        <v>0</v>
      </c>
      <c r="T112" s="20">
        <v>4</v>
      </c>
      <c r="U112" s="20"/>
      <c r="V112" s="19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95">
        <v>300096</v>
      </c>
      <c r="B113" s="190" t="s">
        <v>118</v>
      </c>
      <c r="C113" s="226" t="s">
        <v>121</v>
      </c>
      <c r="D113" s="226" t="s">
        <v>122</v>
      </c>
      <c r="E113" s="194" t="s">
        <v>37</v>
      </c>
      <c r="F113" s="13"/>
      <c r="G113" s="110"/>
      <c r="H113" s="110"/>
      <c r="I113" s="110"/>
      <c r="J113" s="110"/>
      <c r="K113" s="192">
        <f t="shared" si="7"/>
        <v>0</v>
      </c>
      <c r="L113" s="192">
        <f t="shared" si="8"/>
        <v>0</v>
      </c>
      <c r="M113" s="192">
        <v>480.13</v>
      </c>
      <c r="N113" s="192">
        <f>+M113*1000/(126.5*4*12*60)*T113</f>
        <v>2.6357597716293371</v>
      </c>
      <c r="O113" s="192"/>
      <c r="P113" s="192">
        <f t="shared" si="9"/>
        <v>0</v>
      </c>
      <c r="Q113" s="192"/>
      <c r="R113" s="19">
        <f t="shared" si="10"/>
        <v>0</v>
      </c>
      <c r="S113" s="192">
        <f t="shared" si="11"/>
        <v>0</v>
      </c>
      <c r="T113" s="20">
        <v>2</v>
      </c>
      <c r="U113" s="20"/>
      <c r="V113" s="19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95"/>
      <c r="B114" s="190" t="s">
        <v>118</v>
      </c>
      <c r="C114" s="226" t="s">
        <v>121</v>
      </c>
      <c r="D114" s="226" t="s">
        <v>122</v>
      </c>
      <c r="E114" s="194" t="s">
        <v>35</v>
      </c>
      <c r="F114" s="13"/>
      <c r="G114" s="110"/>
      <c r="H114" s="110"/>
      <c r="I114" s="110"/>
      <c r="J114" s="110"/>
      <c r="K114" s="192">
        <f t="shared" si="7"/>
        <v>0</v>
      </c>
      <c r="L114" s="192">
        <f t="shared" si="8"/>
        <v>0</v>
      </c>
      <c r="M114" s="192">
        <v>480.13</v>
      </c>
      <c r="N114" s="192">
        <f>+M114*1000/(126.5*4*12*60)*T114</f>
        <v>2.6357597716293371</v>
      </c>
      <c r="O114" s="192"/>
      <c r="P114" s="192">
        <f t="shared" si="9"/>
        <v>0</v>
      </c>
      <c r="Q114" s="192"/>
      <c r="R114" s="19">
        <f t="shared" si="10"/>
        <v>0</v>
      </c>
      <c r="S114" s="192">
        <f t="shared" si="11"/>
        <v>0</v>
      </c>
      <c r="T114" s="20">
        <v>2</v>
      </c>
      <c r="U114" s="20"/>
      <c r="V114" s="19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95">
        <v>300097</v>
      </c>
      <c r="B115" s="190" t="s">
        <v>118</v>
      </c>
      <c r="C115" s="226" t="s">
        <v>121</v>
      </c>
      <c r="D115" s="226" t="s">
        <v>122</v>
      </c>
      <c r="E115" s="194" t="s">
        <v>63</v>
      </c>
      <c r="F115" s="13"/>
      <c r="G115" s="110"/>
      <c r="H115" s="110"/>
      <c r="I115" s="110"/>
      <c r="J115" s="110"/>
      <c r="K115" s="192">
        <f t="shared" si="7"/>
        <v>0</v>
      </c>
      <c r="L115" s="192">
        <f t="shared" si="8"/>
        <v>0</v>
      </c>
      <c r="M115" s="192">
        <v>480.13</v>
      </c>
      <c r="N115" s="192">
        <f>+M115*1000/(126.5*4*12*60)*T115</f>
        <v>2.6357597716293371</v>
      </c>
      <c r="O115" s="192"/>
      <c r="P115" s="192">
        <f t="shared" si="9"/>
        <v>0</v>
      </c>
      <c r="Q115" s="192"/>
      <c r="R115" s="19">
        <f t="shared" si="10"/>
        <v>0</v>
      </c>
      <c r="S115" s="192">
        <f t="shared" si="11"/>
        <v>0</v>
      </c>
      <c r="T115" s="20">
        <v>2</v>
      </c>
      <c r="U115" s="20"/>
      <c r="V115" s="19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90">
        <v>300294</v>
      </c>
      <c r="B116" s="190" t="s">
        <v>118</v>
      </c>
      <c r="C116" s="226" t="s">
        <v>123</v>
      </c>
      <c r="D116" s="226"/>
      <c r="E116" s="194" t="s">
        <v>41</v>
      </c>
      <c r="F116" s="27"/>
      <c r="G116" s="110"/>
      <c r="H116" s="110"/>
      <c r="I116" s="110"/>
      <c r="J116" s="110"/>
      <c r="K116" s="192">
        <f t="shared" si="7"/>
        <v>0</v>
      </c>
      <c r="L116" s="192">
        <f t="shared" si="8"/>
        <v>0</v>
      </c>
      <c r="M116" s="192">
        <v>373.14</v>
      </c>
      <c r="N116" s="192">
        <f t="shared" ref="N116:N125" si="13">+M116*1000/(90*4*14*60)*T116</f>
        <v>3.7017857142857142</v>
      </c>
      <c r="O116" s="192"/>
      <c r="P116" s="192">
        <f t="shared" si="9"/>
        <v>0</v>
      </c>
      <c r="Q116" s="192"/>
      <c r="R116" s="19">
        <f t="shared" si="10"/>
        <v>0</v>
      </c>
      <c r="S116" s="192">
        <f t="shared" si="11"/>
        <v>0</v>
      </c>
      <c r="T116" s="20">
        <v>3</v>
      </c>
      <c r="U116" s="20"/>
      <c r="V116" s="19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90">
        <v>300295</v>
      </c>
      <c r="B117" s="190" t="s">
        <v>124</v>
      </c>
      <c r="C117" s="226" t="s">
        <v>125</v>
      </c>
      <c r="D117" s="226"/>
      <c r="E117" s="194" t="s">
        <v>126</v>
      </c>
      <c r="F117" s="27"/>
      <c r="G117" s="110"/>
      <c r="H117" s="110"/>
      <c r="I117" s="110"/>
      <c r="J117" s="110"/>
      <c r="K117" s="192">
        <f t="shared" si="7"/>
        <v>0</v>
      </c>
      <c r="L117" s="192">
        <f t="shared" si="8"/>
        <v>0</v>
      </c>
      <c r="M117" s="192">
        <v>373.14</v>
      </c>
      <c r="N117" s="192">
        <f t="shared" si="13"/>
        <v>3.7017857142857142</v>
      </c>
      <c r="O117" s="192"/>
      <c r="P117" s="192">
        <f t="shared" si="9"/>
        <v>0</v>
      </c>
      <c r="Q117" s="192"/>
      <c r="R117" s="19">
        <f t="shared" si="10"/>
        <v>0</v>
      </c>
      <c r="S117" s="192">
        <f t="shared" si="11"/>
        <v>0</v>
      </c>
      <c r="T117" s="20">
        <v>3</v>
      </c>
      <c r="U117" s="20"/>
      <c r="V117" s="19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90">
        <v>300258</v>
      </c>
      <c r="B118" s="190" t="s">
        <v>118</v>
      </c>
      <c r="C118" s="226" t="s">
        <v>123</v>
      </c>
      <c r="D118" s="226"/>
      <c r="E118" s="194" t="s">
        <v>42</v>
      </c>
      <c r="F118" s="27"/>
      <c r="G118" s="110"/>
      <c r="H118" s="110"/>
      <c r="I118" s="110"/>
      <c r="J118" s="110"/>
      <c r="K118" s="192">
        <f t="shared" si="7"/>
        <v>0</v>
      </c>
      <c r="L118" s="192">
        <f t="shared" si="8"/>
        <v>0</v>
      </c>
      <c r="M118" s="192">
        <v>373.14</v>
      </c>
      <c r="N118" s="192">
        <f t="shared" si="13"/>
        <v>3.7017857142857142</v>
      </c>
      <c r="O118" s="192"/>
      <c r="P118" s="192">
        <f t="shared" si="9"/>
        <v>0</v>
      </c>
      <c r="Q118" s="192"/>
      <c r="R118" s="19">
        <f t="shared" si="10"/>
        <v>0</v>
      </c>
      <c r="S118" s="192">
        <f t="shared" si="11"/>
        <v>0</v>
      </c>
      <c r="T118" s="20">
        <v>3</v>
      </c>
      <c r="U118" s="20"/>
      <c r="V118" s="19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90">
        <v>300256</v>
      </c>
      <c r="B119" s="190" t="s">
        <v>118</v>
      </c>
      <c r="C119" s="226" t="s">
        <v>123</v>
      </c>
      <c r="D119" s="226"/>
      <c r="E119" s="194" t="s">
        <v>74</v>
      </c>
      <c r="F119" s="27"/>
      <c r="G119" s="110"/>
      <c r="H119" s="110"/>
      <c r="I119" s="110"/>
      <c r="J119" s="110"/>
      <c r="K119" s="192">
        <f t="shared" si="7"/>
        <v>0</v>
      </c>
      <c r="L119" s="192">
        <f t="shared" si="8"/>
        <v>0</v>
      </c>
      <c r="M119" s="192">
        <v>373.14</v>
      </c>
      <c r="N119" s="192">
        <f t="shared" si="13"/>
        <v>3.7017857142857142</v>
      </c>
      <c r="O119" s="192"/>
      <c r="P119" s="192">
        <f t="shared" si="9"/>
        <v>0</v>
      </c>
      <c r="Q119" s="192"/>
      <c r="R119" s="19">
        <f t="shared" si="10"/>
        <v>0</v>
      </c>
      <c r="S119" s="192">
        <f t="shared" si="11"/>
        <v>0</v>
      </c>
      <c r="T119" s="20">
        <v>3</v>
      </c>
      <c r="U119" s="20"/>
      <c r="V119" s="19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90">
        <v>300259</v>
      </c>
      <c r="B120" s="190" t="s">
        <v>118</v>
      </c>
      <c r="C120" s="226" t="s">
        <v>123</v>
      </c>
      <c r="D120" s="226"/>
      <c r="E120" s="194" t="s">
        <v>40</v>
      </c>
      <c r="F120" s="27"/>
      <c r="G120" s="110"/>
      <c r="H120" s="110"/>
      <c r="I120" s="110"/>
      <c r="J120" s="110"/>
      <c r="K120" s="192">
        <f t="shared" si="7"/>
        <v>0</v>
      </c>
      <c r="L120" s="192">
        <f t="shared" si="8"/>
        <v>0</v>
      </c>
      <c r="M120" s="192">
        <v>373.14</v>
      </c>
      <c r="N120" s="192">
        <f t="shared" si="13"/>
        <v>3.7017857142857142</v>
      </c>
      <c r="O120" s="192"/>
      <c r="P120" s="192">
        <f t="shared" si="9"/>
        <v>0</v>
      </c>
      <c r="Q120" s="192"/>
      <c r="R120" s="19">
        <f t="shared" si="10"/>
        <v>0</v>
      </c>
      <c r="S120" s="192">
        <f t="shared" si="11"/>
        <v>0</v>
      </c>
      <c r="T120" s="20">
        <v>3</v>
      </c>
      <c r="U120" s="20"/>
      <c r="V120" s="19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90">
        <v>300345</v>
      </c>
      <c r="B121" s="190" t="s">
        <v>118</v>
      </c>
      <c r="C121" s="226" t="s">
        <v>127</v>
      </c>
      <c r="D121" s="226"/>
      <c r="E121" s="194" t="s">
        <v>74</v>
      </c>
      <c r="F121" s="27"/>
      <c r="G121" s="41"/>
      <c r="H121" s="41"/>
      <c r="I121" s="41"/>
      <c r="J121" s="41"/>
      <c r="K121" s="192">
        <f t="shared" si="7"/>
        <v>0</v>
      </c>
      <c r="L121" s="192">
        <f t="shared" si="8"/>
        <v>0</v>
      </c>
      <c r="M121" s="192">
        <v>373.14</v>
      </c>
      <c r="N121" s="192">
        <f t="shared" si="13"/>
        <v>3.7017857142857142</v>
      </c>
      <c r="O121" s="41"/>
      <c r="P121" s="192">
        <f t="shared" si="9"/>
        <v>0</v>
      </c>
      <c r="Q121" s="41"/>
      <c r="R121" s="19">
        <f t="shared" si="10"/>
        <v>0</v>
      </c>
      <c r="S121" s="192">
        <f t="shared" si="11"/>
        <v>0</v>
      </c>
      <c r="T121" s="20">
        <v>3</v>
      </c>
      <c r="U121" s="41"/>
      <c r="V121" s="19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90">
        <v>300346</v>
      </c>
      <c r="B122" s="190" t="s">
        <v>118</v>
      </c>
      <c r="C122" s="226" t="s">
        <v>127</v>
      </c>
      <c r="D122" s="226"/>
      <c r="E122" s="194" t="s">
        <v>42</v>
      </c>
      <c r="F122" s="27"/>
      <c r="G122" s="41"/>
      <c r="H122" s="41"/>
      <c r="I122" s="41"/>
      <c r="J122" s="41"/>
      <c r="K122" s="192">
        <f t="shared" si="7"/>
        <v>0</v>
      </c>
      <c r="L122" s="192">
        <f t="shared" si="8"/>
        <v>0</v>
      </c>
      <c r="M122" s="192">
        <v>373.14</v>
      </c>
      <c r="N122" s="192">
        <f t="shared" si="13"/>
        <v>3.7017857142857142</v>
      </c>
      <c r="O122" s="41"/>
      <c r="P122" s="192">
        <f t="shared" si="9"/>
        <v>0</v>
      </c>
      <c r="Q122" s="41"/>
      <c r="R122" s="19">
        <f t="shared" si="10"/>
        <v>0</v>
      </c>
      <c r="S122" s="192">
        <f t="shared" si="11"/>
        <v>0</v>
      </c>
      <c r="T122" s="20">
        <v>3</v>
      </c>
      <c r="U122" s="41"/>
      <c r="V122" s="19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90">
        <v>300347</v>
      </c>
      <c r="B123" s="190" t="s">
        <v>118</v>
      </c>
      <c r="C123" s="226" t="s">
        <v>127</v>
      </c>
      <c r="D123" s="226"/>
      <c r="E123" s="194" t="s">
        <v>41</v>
      </c>
      <c r="F123" s="27"/>
      <c r="G123" s="41"/>
      <c r="H123" s="41"/>
      <c r="I123" s="41"/>
      <c r="J123" s="41"/>
      <c r="K123" s="192">
        <f t="shared" si="7"/>
        <v>0</v>
      </c>
      <c r="L123" s="192">
        <f t="shared" si="8"/>
        <v>0</v>
      </c>
      <c r="M123" s="192">
        <v>373.14</v>
      </c>
      <c r="N123" s="192">
        <f t="shared" si="13"/>
        <v>3.7017857142857142</v>
      </c>
      <c r="O123" s="41"/>
      <c r="P123" s="192">
        <f t="shared" si="9"/>
        <v>0</v>
      </c>
      <c r="Q123" s="41"/>
      <c r="R123" s="19">
        <f t="shared" si="10"/>
        <v>0</v>
      </c>
      <c r="S123" s="192">
        <f t="shared" si="11"/>
        <v>0</v>
      </c>
      <c r="T123" s="20">
        <v>3</v>
      </c>
      <c r="U123" s="41"/>
      <c r="V123" s="19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90">
        <v>300348</v>
      </c>
      <c r="B124" s="190" t="s">
        <v>118</v>
      </c>
      <c r="C124" s="226" t="s">
        <v>127</v>
      </c>
      <c r="D124" s="226"/>
      <c r="E124" s="194" t="s">
        <v>126</v>
      </c>
      <c r="F124" s="27"/>
      <c r="G124" s="41"/>
      <c r="H124" s="41"/>
      <c r="I124" s="41"/>
      <c r="J124" s="41"/>
      <c r="K124" s="192">
        <f t="shared" si="7"/>
        <v>0</v>
      </c>
      <c r="L124" s="192">
        <f t="shared" si="8"/>
        <v>0</v>
      </c>
      <c r="M124" s="192">
        <v>373.14</v>
      </c>
      <c r="N124" s="192">
        <f t="shared" si="13"/>
        <v>3.7017857142857142</v>
      </c>
      <c r="O124" s="41"/>
      <c r="P124" s="192">
        <f t="shared" si="9"/>
        <v>0</v>
      </c>
      <c r="Q124" s="41"/>
      <c r="R124" s="19">
        <f t="shared" si="10"/>
        <v>0</v>
      </c>
      <c r="S124" s="192">
        <f t="shared" si="11"/>
        <v>0</v>
      </c>
      <c r="T124" s="20">
        <v>3</v>
      </c>
      <c r="U124" s="41"/>
      <c r="V124" s="19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90">
        <v>300349</v>
      </c>
      <c r="B125" s="190" t="s">
        <v>118</v>
      </c>
      <c r="C125" s="226" t="s">
        <v>127</v>
      </c>
      <c r="D125" s="226"/>
      <c r="E125" s="194" t="s">
        <v>40</v>
      </c>
      <c r="F125" s="27"/>
      <c r="G125" s="41"/>
      <c r="H125" s="41"/>
      <c r="I125" s="41"/>
      <c r="J125" s="41"/>
      <c r="K125" s="192">
        <f t="shared" si="7"/>
        <v>0</v>
      </c>
      <c r="L125" s="192">
        <f t="shared" si="8"/>
        <v>0</v>
      </c>
      <c r="M125" s="192">
        <v>373.14</v>
      </c>
      <c r="N125" s="192">
        <f t="shared" si="13"/>
        <v>3.7017857142857142</v>
      </c>
      <c r="O125" s="41"/>
      <c r="P125" s="192">
        <f t="shared" si="9"/>
        <v>0</v>
      </c>
      <c r="Q125" s="41"/>
      <c r="R125" s="19">
        <f t="shared" si="10"/>
        <v>0</v>
      </c>
      <c r="S125" s="192">
        <f t="shared" si="11"/>
        <v>0</v>
      </c>
      <c r="T125" s="20">
        <v>3</v>
      </c>
      <c r="U125" s="41"/>
      <c r="V125" s="19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90">
        <v>300298</v>
      </c>
      <c r="B126" s="190" t="s">
        <v>118</v>
      </c>
      <c r="C126" s="226" t="s">
        <v>128</v>
      </c>
      <c r="D126" s="226"/>
      <c r="E126" s="194" t="s">
        <v>54</v>
      </c>
      <c r="F126" s="27"/>
      <c r="G126" s="110"/>
      <c r="H126" s="110"/>
      <c r="I126" s="110"/>
      <c r="J126" s="110"/>
      <c r="K126" s="192">
        <f t="shared" si="7"/>
        <v>0</v>
      </c>
      <c r="L126" s="192">
        <f t="shared" si="8"/>
        <v>0</v>
      </c>
      <c r="M126" s="192">
        <v>380.63</v>
      </c>
      <c r="N126" s="192">
        <f t="shared" ref="N126:N131" si="14">+M126*1000/(94.7*4*15*60)*T126</f>
        <v>4.4659157573624313</v>
      </c>
      <c r="O126" s="192"/>
      <c r="P126" s="192">
        <f t="shared" si="9"/>
        <v>0</v>
      </c>
      <c r="Q126" s="192"/>
      <c r="R126" s="19">
        <f t="shared" si="10"/>
        <v>0</v>
      </c>
      <c r="S126" s="192">
        <f t="shared" si="11"/>
        <v>0</v>
      </c>
      <c r="T126" s="20">
        <v>4</v>
      </c>
      <c r="U126" s="20"/>
      <c r="V126" s="19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90">
        <v>300299</v>
      </c>
      <c r="B127" s="190" t="s">
        <v>118</v>
      </c>
      <c r="C127" s="226" t="s">
        <v>128</v>
      </c>
      <c r="D127" s="226"/>
      <c r="E127" s="194" t="s">
        <v>39</v>
      </c>
      <c r="F127" s="27"/>
      <c r="G127" s="110"/>
      <c r="H127" s="110"/>
      <c r="I127" s="110"/>
      <c r="J127" s="110"/>
      <c r="K127" s="192">
        <f t="shared" si="7"/>
        <v>0</v>
      </c>
      <c r="L127" s="192">
        <f t="shared" si="8"/>
        <v>0</v>
      </c>
      <c r="M127" s="192">
        <v>380.63</v>
      </c>
      <c r="N127" s="192">
        <f t="shared" si="14"/>
        <v>4.4659157573624313</v>
      </c>
      <c r="O127" s="192"/>
      <c r="P127" s="192">
        <f t="shared" si="9"/>
        <v>0</v>
      </c>
      <c r="Q127" s="192"/>
      <c r="R127" s="19">
        <f t="shared" si="10"/>
        <v>0</v>
      </c>
      <c r="S127" s="192">
        <f t="shared" si="11"/>
        <v>0</v>
      </c>
      <c r="T127" s="20">
        <v>4</v>
      </c>
      <c r="U127" s="20"/>
      <c r="V127" s="19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90">
        <v>300296</v>
      </c>
      <c r="B128" s="190" t="s">
        <v>118</v>
      </c>
      <c r="C128" s="226" t="s">
        <v>128</v>
      </c>
      <c r="D128" s="226"/>
      <c r="E128" s="194" t="s">
        <v>41</v>
      </c>
      <c r="F128" s="27"/>
      <c r="G128" s="110"/>
      <c r="H128" s="110"/>
      <c r="I128" s="110"/>
      <c r="J128" s="110"/>
      <c r="K128" s="192">
        <f t="shared" si="7"/>
        <v>0</v>
      </c>
      <c r="L128" s="192">
        <f t="shared" si="8"/>
        <v>0</v>
      </c>
      <c r="M128" s="192">
        <v>380.63</v>
      </c>
      <c r="N128" s="192">
        <f t="shared" si="14"/>
        <v>4.4659157573624313</v>
      </c>
      <c r="O128" s="192"/>
      <c r="P128" s="192">
        <f t="shared" si="9"/>
        <v>0</v>
      </c>
      <c r="Q128" s="192"/>
      <c r="R128" s="19">
        <f t="shared" si="10"/>
        <v>0</v>
      </c>
      <c r="S128" s="192">
        <f t="shared" si="11"/>
        <v>0</v>
      </c>
      <c r="T128" s="20">
        <v>4</v>
      </c>
      <c r="U128" s="20"/>
      <c r="V128" s="19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90">
        <v>300297</v>
      </c>
      <c r="B129" s="190" t="s">
        <v>118</v>
      </c>
      <c r="C129" s="226" t="s">
        <v>128</v>
      </c>
      <c r="D129" s="226"/>
      <c r="E129" s="194" t="s">
        <v>37</v>
      </c>
      <c r="F129" s="27"/>
      <c r="G129" s="110"/>
      <c r="H129" s="110"/>
      <c r="I129" s="110"/>
      <c r="J129" s="110"/>
      <c r="K129" s="192">
        <f t="shared" si="7"/>
        <v>0</v>
      </c>
      <c r="L129" s="192">
        <f t="shared" si="8"/>
        <v>0</v>
      </c>
      <c r="M129" s="192">
        <v>380.63</v>
      </c>
      <c r="N129" s="192">
        <f t="shared" si="14"/>
        <v>4.4659157573624313</v>
      </c>
      <c r="O129" s="192"/>
      <c r="P129" s="192">
        <f t="shared" si="9"/>
        <v>0</v>
      </c>
      <c r="Q129" s="192"/>
      <c r="R129" s="19">
        <f t="shared" si="10"/>
        <v>0</v>
      </c>
      <c r="S129" s="192">
        <f t="shared" si="11"/>
        <v>0</v>
      </c>
      <c r="T129" s="20">
        <v>4</v>
      </c>
      <c r="U129" s="20"/>
      <c r="V129" s="19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90">
        <v>300340</v>
      </c>
      <c r="B130" s="190" t="s">
        <v>118</v>
      </c>
      <c r="C130" s="237" t="s">
        <v>129</v>
      </c>
      <c r="D130" s="238"/>
      <c r="E130" s="194" t="s">
        <v>41</v>
      </c>
      <c r="F130" s="27"/>
      <c r="G130" s="110"/>
      <c r="H130" s="110"/>
      <c r="I130" s="110"/>
      <c r="J130" s="110"/>
      <c r="K130" s="192">
        <f t="shared" si="7"/>
        <v>0</v>
      </c>
      <c r="L130" s="192">
        <f t="shared" si="8"/>
        <v>0</v>
      </c>
      <c r="M130" s="192">
        <v>325.60000000000002</v>
      </c>
      <c r="N130" s="192">
        <f t="shared" si="14"/>
        <v>3.8202510852986036</v>
      </c>
      <c r="O130" s="192"/>
      <c r="P130" s="192">
        <f t="shared" si="9"/>
        <v>0</v>
      </c>
      <c r="Q130" s="192"/>
      <c r="R130" s="19">
        <f t="shared" si="10"/>
        <v>0</v>
      </c>
      <c r="S130" s="192">
        <f t="shared" si="11"/>
        <v>0</v>
      </c>
      <c r="T130" s="20">
        <v>4</v>
      </c>
      <c r="U130" s="20"/>
      <c r="V130" s="19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90">
        <v>300339</v>
      </c>
      <c r="B131" s="190" t="s">
        <v>118</v>
      </c>
      <c r="C131" s="237" t="s">
        <v>129</v>
      </c>
      <c r="D131" s="238"/>
      <c r="E131" s="194" t="s">
        <v>39</v>
      </c>
      <c r="F131" s="27"/>
      <c r="G131" s="110"/>
      <c r="H131" s="110"/>
      <c r="I131" s="110"/>
      <c r="J131" s="110"/>
      <c r="K131" s="192">
        <f t="shared" si="7"/>
        <v>0</v>
      </c>
      <c r="L131" s="192">
        <f t="shared" si="8"/>
        <v>0</v>
      </c>
      <c r="M131" s="192">
        <v>325.60000000000002</v>
      </c>
      <c r="N131" s="192">
        <f t="shared" si="14"/>
        <v>3.8202510852986036</v>
      </c>
      <c r="O131" s="192"/>
      <c r="P131" s="192">
        <f t="shared" si="9"/>
        <v>0</v>
      </c>
      <c r="Q131" s="192"/>
      <c r="R131" s="19">
        <f t="shared" si="10"/>
        <v>0</v>
      </c>
      <c r="S131" s="192">
        <f t="shared" si="11"/>
        <v>0</v>
      </c>
      <c r="T131" s="20">
        <v>4</v>
      </c>
      <c r="U131" s="20"/>
      <c r="V131" s="19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90">
        <v>300303</v>
      </c>
      <c r="B132" s="190" t="s">
        <v>118</v>
      </c>
      <c r="C132" s="226" t="s">
        <v>130</v>
      </c>
      <c r="D132" s="226" t="s">
        <v>131</v>
      </c>
      <c r="E132" s="194" t="s">
        <v>57</v>
      </c>
      <c r="F132" s="27"/>
      <c r="G132" s="110"/>
      <c r="H132" s="110"/>
      <c r="I132" s="110"/>
      <c r="J132" s="110"/>
      <c r="K132" s="192">
        <f t="shared" si="7"/>
        <v>0</v>
      </c>
      <c r="L132" s="192">
        <f t="shared" si="8"/>
        <v>0</v>
      </c>
      <c r="M132" s="192">
        <v>396.92</v>
      </c>
      <c r="N132" s="192">
        <f>+M132*1000/(113.8*4*15*60)*T132</f>
        <v>4.8442686975200155</v>
      </c>
      <c r="O132" s="192"/>
      <c r="P132" s="192">
        <f t="shared" si="9"/>
        <v>0</v>
      </c>
      <c r="Q132" s="192"/>
      <c r="R132" s="19">
        <f t="shared" si="10"/>
        <v>0</v>
      </c>
      <c r="S132" s="192">
        <f t="shared" si="11"/>
        <v>0</v>
      </c>
      <c r="T132" s="20">
        <v>5</v>
      </c>
      <c r="U132" s="20"/>
      <c r="V132" s="19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90">
        <v>300302</v>
      </c>
      <c r="B133" s="190" t="s">
        <v>118</v>
      </c>
      <c r="C133" s="226" t="s">
        <v>130</v>
      </c>
      <c r="D133" s="226" t="s">
        <v>131</v>
      </c>
      <c r="E133" s="194" t="s">
        <v>117</v>
      </c>
      <c r="F133" s="27"/>
      <c r="G133" s="110"/>
      <c r="H133" s="110"/>
      <c r="I133" s="110"/>
      <c r="J133" s="110"/>
      <c r="K133" s="192">
        <f t="shared" si="7"/>
        <v>0</v>
      </c>
      <c r="L133" s="192">
        <f t="shared" si="8"/>
        <v>0</v>
      </c>
      <c r="M133" s="192">
        <v>396.06</v>
      </c>
      <c r="N133" s="192">
        <f>+M133*1000/(113.8*4*15*60)*T133</f>
        <v>4.8337727006444053</v>
      </c>
      <c r="O133" s="192"/>
      <c r="P133" s="192">
        <f t="shared" si="9"/>
        <v>0</v>
      </c>
      <c r="Q133" s="192"/>
      <c r="R133" s="19">
        <f t="shared" si="10"/>
        <v>0</v>
      </c>
      <c r="S133" s="192">
        <f t="shared" si="11"/>
        <v>0</v>
      </c>
      <c r="T133" s="20">
        <v>5</v>
      </c>
      <c r="U133" s="20"/>
      <c r="V133" s="19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90">
        <v>300301</v>
      </c>
      <c r="B134" s="190" t="s">
        <v>118</v>
      </c>
      <c r="C134" s="226" t="s">
        <v>130</v>
      </c>
      <c r="D134" s="226" t="s">
        <v>131</v>
      </c>
      <c r="E134" s="194" t="s">
        <v>132</v>
      </c>
      <c r="F134" s="27"/>
      <c r="G134" s="110"/>
      <c r="H134" s="110"/>
      <c r="I134" s="110"/>
      <c r="J134" s="110"/>
      <c r="K134" s="192">
        <f t="shared" si="7"/>
        <v>0</v>
      </c>
      <c r="L134" s="192">
        <f t="shared" si="8"/>
        <v>0</v>
      </c>
      <c r="M134" s="192">
        <v>401.25</v>
      </c>
      <c r="N134" s="192">
        <f>+M134*1000/(113.8*4*15*60)*T134</f>
        <v>4.8971148213239601</v>
      </c>
      <c r="O134" s="192"/>
      <c r="P134" s="192">
        <f t="shared" si="9"/>
        <v>0</v>
      </c>
      <c r="Q134" s="192"/>
      <c r="R134" s="19">
        <f t="shared" si="10"/>
        <v>0</v>
      </c>
      <c r="S134" s="192">
        <f t="shared" si="11"/>
        <v>0</v>
      </c>
      <c r="T134" s="20">
        <v>5</v>
      </c>
      <c r="U134" s="20"/>
      <c r="V134" s="19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95">
        <v>300304</v>
      </c>
      <c r="B135" s="190" t="s">
        <v>118</v>
      </c>
      <c r="C135" s="226" t="s">
        <v>130</v>
      </c>
      <c r="D135" s="226"/>
      <c r="E135" s="194" t="s">
        <v>133</v>
      </c>
      <c r="F135" s="27"/>
      <c r="G135" s="110"/>
      <c r="H135" s="110"/>
      <c r="I135" s="110"/>
      <c r="J135" s="110"/>
      <c r="K135" s="192">
        <f t="shared" si="7"/>
        <v>0</v>
      </c>
      <c r="L135" s="192">
        <f t="shared" si="8"/>
        <v>0</v>
      </c>
      <c r="M135" s="192">
        <v>401.25</v>
      </c>
      <c r="N135" s="192">
        <f>+M135*1000/(113.8*4*15*60)*T135</f>
        <v>4.8971148213239601</v>
      </c>
      <c r="O135" s="192"/>
      <c r="P135" s="192">
        <f t="shared" si="9"/>
        <v>0</v>
      </c>
      <c r="Q135" s="192"/>
      <c r="R135" s="19">
        <f t="shared" si="10"/>
        <v>0</v>
      </c>
      <c r="S135" s="192">
        <f t="shared" si="11"/>
        <v>0</v>
      </c>
      <c r="T135" s="20">
        <v>5</v>
      </c>
      <c r="U135" s="20"/>
      <c r="V135" s="19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95">
        <v>300300</v>
      </c>
      <c r="B136" s="190" t="s">
        <v>118</v>
      </c>
      <c r="C136" s="226" t="s">
        <v>130</v>
      </c>
      <c r="D136" s="226" t="s">
        <v>131</v>
      </c>
      <c r="E136" s="194" t="s">
        <v>54</v>
      </c>
      <c r="F136" s="27"/>
      <c r="G136" s="110"/>
      <c r="H136" s="110"/>
      <c r="I136" s="110"/>
      <c r="J136" s="110"/>
      <c r="K136" s="192">
        <f t="shared" si="7"/>
        <v>0</v>
      </c>
      <c r="L136" s="192">
        <f t="shared" si="8"/>
        <v>0</v>
      </c>
      <c r="M136" s="192">
        <v>399.07</v>
      </c>
      <c r="N136" s="192">
        <f>+M136*1000/(113.8*4*15*60)*T136</f>
        <v>4.8705086897090411</v>
      </c>
      <c r="O136" s="192"/>
      <c r="P136" s="192">
        <f t="shared" si="9"/>
        <v>0</v>
      </c>
      <c r="Q136" s="192"/>
      <c r="R136" s="19">
        <f t="shared" si="10"/>
        <v>0</v>
      </c>
      <c r="S136" s="192">
        <f t="shared" si="11"/>
        <v>0</v>
      </c>
      <c r="T136" s="20">
        <v>5</v>
      </c>
      <c r="U136" s="20"/>
      <c r="V136" s="19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95">
        <v>300085</v>
      </c>
      <c r="B137" s="190">
        <v>6503</v>
      </c>
      <c r="C137" s="226" t="s">
        <v>134</v>
      </c>
      <c r="D137" s="226" t="s">
        <v>131</v>
      </c>
      <c r="E137" s="194" t="s">
        <v>135</v>
      </c>
      <c r="F137" s="27"/>
      <c r="G137" s="110"/>
      <c r="H137" s="110"/>
      <c r="I137" s="110"/>
      <c r="J137" s="110"/>
      <c r="K137" s="192">
        <f t="shared" si="7"/>
        <v>0</v>
      </c>
      <c r="L137" s="192">
        <f t="shared" si="8"/>
        <v>0</v>
      </c>
      <c r="M137" s="192">
        <v>394.3</v>
      </c>
      <c r="N137" s="192">
        <f>+M137*1000/(104.2*4*15*60)*T137</f>
        <v>6.3067818298144598</v>
      </c>
      <c r="O137" s="192"/>
      <c r="P137" s="192">
        <f t="shared" si="9"/>
        <v>0</v>
      </c>
      <c r="Q137" s="192"/>
      <c r="R137" s="19">
        <f t="shared" si="10"/>
        <v>0</v>
      </c>
      <c r="S137" s="192">
        <f t="shared" si="11"/>
        <v>0</v>
      </c>
      <c r="T137" s="20">
        <v>6</v>
      </c>
      <c r="U137" s="20"/>
      <c r="V137" s="19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95">
        <v>300087</v>
      </c>
      <c r="B138" s="190" t="s">
        <v>118</v>
      </c>
      <c r="C138" s="226" t="s">
        <v>134</v>
      </c>
      <c r="D138" s="226" t="s">
        <v>131</v>
      </c>
      <c r="E138" s="194" t="s">
        <v>80</v>
      </c>
      <c r="F138" s="27"/>
      <c r="G138" s="110"/>
      <c r="H138" s="110"/>
      <c r="I138" s="110"/>
      <c r="J138" s="110"/>
      <c r="K138" s="192">
        <f t="shared" si="7"/>
        <v>0</v>
      </c>
      <c r="L138" s="192">
        <f t="shared" si="8"/>
        <v>0</v>
      </c>
      <c r="M138" s="192">
        <v>380.1</v>
      </c>
      <c r="N138" s="192">
        <f>+M138*1000/(104.2*4*16*60)*T138</f>
        <v>4.7497300863723604</v>
      </c>
      <c r="O138" s="192"/>
      <c r="P138" s="192">
        <f t="shared" si="9"/>
        <v>0</v>
      </c>
      <c r="Q138" s="192"/>
      <c r="R138" s="19">
        <f t="shared" si="10"/>
        <v>0</v>
      </c>
      <c r="S138" s="192">
        <f t="shared" si="11"/>
        <v>0</v>
      </c>
      <c r="T138" s="20">
        <v>5</v>
      </c>
      <c r="U138" s="20"/>
      <c r="V138" s="19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95">
        <v>300387</v>
      </c>
      <c r="B139" s="190" t="s">
        <v>136</v>
      </c>
      <c r="C139" s="237" t="s">
        <v>137</v>
      </c>
      <c r="D139" s="238"/>
      <c r="E139" s="194" t="s">
        <v>57</v>
      </c>
      <c r="F139" s="27"/>
      <c r="G139" s="110"/>
      <c r="H139" s="110"/>
      <c r="I139" s="110"/>
      <c r="J139" s="110"/>
      <c r="K139" s="192">
        <f t="shared" si="7"/>
        <v>0</v>
      </c>
      <c r="L139" s="192">
        <f t="shared" si="8"/>
        <v>0</v>
      </c>
      <c r="M139" s="192">
        <v>352.29</v>
      </c>
      <c r="N139" s="192">
        <f>+M139*1000/(104.2*4*16*60)*T139</f>
        <v>4.4022162907869484</v>
      </c>
      <c r="O139" s="192"/>
      <c r="P139" s="192">
        <f t="shared" si="9"/>
        <v>0</v>
      </c>
      <c r="Q139" s="192"/>
      <c r="R139" s="19">
        <f t="shared" si="10"/>
        <v>0</v>
      </c>
      <c r="S139" s="192">
        <f t="shared" si="11"/>
        <v>0</v>
      </c>
      <c r="T139" s="20">
        <v>5</v>
      </c>
      <c r="U139" s="20"/>
      <c r="V139" s="19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95">
        <v>300388</v>
      </c>
      <c r="B140" s="190" t="s">
        <v>138</v>
      </c>
      <c r="C140" s="237" t="s">
        <v>137</v>
      </c>
      <c r="D140" s="238"/>
      <c r="E140" s="194" t="s">
        <v>117</v>
      </c>
      <c r="F140" s="27"/>
      <c r="G140" s="110"/>
      <c r="H140" s="110"/>
      <c r="I140" s="110"/>
      <c r="J140" s="110"/>
      <c r="K140" s="192">
        <f t="shared" si="7"/>
        <v>0</v>
      </c>
      <c r="L140" s="192">
        <f t="shared" si="8"/>
        <v>0</v>
      </c>
      <c r="M140" s="192">
        <v>352.29</v>
      </c>
      <c r="N140" s="192">
        <f>+M140*1000/(104.2*4*16*60)*T140</f>
        <v>4.4022162907869484</v>
      </c>
      <c r="O140" s="192"/>
      <c r="P140" s="192">
        <f t="shared" si="9"/>
        <v>0</v>
      </c>
      <c r="Q140" s="192"/>
      <c r="R140" s="19">
        <f t="shared" si="10"/>
        <v>0</v>
      </c>
      <c r="S140" s="192">
        <f t="shared" si="11"/>
        <v>0</v>
      </c>
      <c r="T140" s="20">
        <v>5</v>
      </c>
      <c r="U140" s="20"/>
      <c r="V140" s="19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95">
        <v>300123</v>
      </c>
      <c r="B141" s="190" t="s">
        <v>118</v>
      </c>
      <c r="C141" s="226" t="s">
        <v>139</v>
      </c>
      <c r="D141" s="226" t="s">
        <v>140</v>
      </c>
      <c r="E141" s="194" t="s">
        <v>135</v>
      </c>
      <c r="F141" s="27"/>
      <c r="G141" s="110"/>
      <c r="H141" s="110"/>
      <c r="I141" s="110"/>
      <c r="J141" s="110"/>
      <c r="K141" s="192">
        <f t="shared" si="7"/>
        <v>0</v>
      </c>
      <c r="L141" s="192">
        <f t="shared" si="8"/>
        <v>0</v>
      </c>
      <c r="M141" s="192">
        <v>557</v>
      </c>
      <c r="N141" s="192">
        <f>+M141*1000/(126.5*4*15*60)*T141</f>
        <v>6.1155028546332888</v>
      </c>
      <c r="O141" s="192"/>
      <c r="P141" s="192">
        <f t="shared" si="9"/>
        <v>0</v>
      </c>
      <c r="Q141" s="192"/>
      <c r="R141" s="19">
        <f t="shared" si="10"/>
        <v>0</v>
      </c>
      <c r="S141" s="192">
        <f t="shared" si="11"/>
        <v>0</v>
      </c>
      <c r="T141" s="20">
        <v>5</v>
      </c>
      <c r="U141" s="20"/>
      <c r="V141" s="19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95">
        <v>300270</v>
      </c>
      <c r="B142" s="190" t="s">
        <v>118</v>
      </c>
      <c r="C142" s="226" t="s">
        <v>141</v>
      </c>
      <c r="D142" s="226"/>
      <c r="E142" s="194" t="s">
        <v>142</v>
      </c>
      <c r="F142" s="27"/>
      <c r="G142" s="110"/>
      <c r="H142" s="110"/>
      <c r="I142" s="110"/>
      <c r="J142" s="110"/>
      <c r="K142" s="192">
        <f t="shared" si="7"/>
        <v>0</v>
      </c>
      <c r="L142" s="192">
        <f t="shared" si="8"/>
        <v>0</v>
      </c>
      <c r="M142" s="192">
        <v>485.7</v>
      </c>
      <c r="N142" s="192">
        <f>+M142*1000/(126.5*4*15*60)*T142</f>
        <v>4.2661396574440049</v>
      </c>
      <c r="O142" s="192"/>
      <c r="P142" s="192">
        <f t="shared" si="9"/>
        <v>0</v>
      </c>
      <c r="Q142" s="192"/>
      <c r="R142" s="19">
        <f t="shared" si="10"/>
        <v>0</v>
      </c>
      <c r="S142" s="192">
        <f t="shared" si="11"/>
        <v>0</v>
      </c>
      <c r="T142" s="20">
        <v>4</v>
      </c>
      <c r="U142" s="20"/>
      <c r="V142" s="19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95">
        <v>300336</v>
      </c>
      <c r="B143" s="190" t="s">
        <v>136</v>
      </c>
      <c r="C143" s="226" t="s">
        <v>143</v>
      </c>
      <c r="D143" s="226"/>
      <c r="E143" s="194" t="s">
        <v>84</v>
      </c>
      <c r="F143" s="27"/>
      <c r="G143" s="110"/>
      <c r="H143" s="110"/>
      <c r="I143" s="110"/>
      <c r="J143" s="110"/>
      <c r="K143" s="192">
        <f t="shared" si="7"/>
        <v>0</v>
      </c>
      <c r="L143" s="192">
        <f t="shared" si="8"/>
        <v>0</v>
      </c>
      <c r="M143" s="192">
        <v>411.4</v>
      </c>
      <c r="N143" s="192">
        <f>+M143*1000/(104.2*4*16*60)*T143</f>
        <v>2.0563419705694179</v>
      </c>
      <c r="O143" s="192"/>
      <c r="P143" s="192">
        <f t="shared" si="9"/>
        <v>0</v>
      </c>
      <c r="Q143" s="192"/>
      <c r="R143" s="19">
        <f t="shared" si="10"/>
        <v>0</v>
      </c>
      <c r="S143" s="192">
        <f t="shared" si="11"/>
        <v>0</v>
      </c>
      <c r="T143" s="20">
        <v>2</v>
      </c>
      <c r="U143" s="20"/>
      <c r="V143" s="19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95">
        <v>300337</v>
      </c>
      <c r="B144" s="190" t="s">
        <v>138</v>
      </c>
      <c r="C144" s="226" t="s">
        <v>143</v>
      </c>
      <c r="D144" s="226"/>
      <c r="E144" s="194" t="s">
        <v>49</v>
      </c>
      <c r="F144" s="27"/>
      <c r="G144" s="110"/>
      <c r="H144" s="110"/>
      <c r="I144" s="110"/>
      <c r="J144" s="110"/>
      <c r="K144" s="192">
        <f t="shared" si="7"/>
        <v>0</v>
      </c>
      <c r="L144" s="192">
        <f t="shared" si="8"/>
        <v>0</v>
      </c>
      <c r="M144" s="192">
        <v>411.4</v>
      </c>
      <c r="N144" s="192">
        <f>+M144*1000/(104.2*4*16*60)*T144</f>
        <v>2.0563419705694179</v>
      </c>
      <c r="O144" s="192"/>
      <c r="P144" s="192">
        <f t="shared" si="9"/>
        <v>0</v>
      </c>
      <c r="Q144" s="192"/>
      <c r="R144" s="19">
        <f t="shared" si="10"/>
        <v>0</v>
      </c>
      <c r="S144" s="192">
        <f t="shared" si="11"/>
        <v>0</v>
      </c>
      <c r="T144" s="20">
        <v>2</v>
      </c>
      <c r="U144" s="20"/>
      <c r="V144" s="19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95">
        <v>300338</v>
      </c>
      <c r="B145" s="190" t="s">
        <v>144</v>
      </c>
      <c r="C145" s="226" t="s">
        <v>143</v>
      </c>
      <c r="D145" s="226"/>
      <c r="E145" s="194" t="s">
        <v>85</v>
      </c>
      <c r="F145" s="27"/>
      <c r="G145" s="110"/>
      <c r="H145" s="110"/>
      <c r="I145" s="110"/>
      <c r="J145" s="110"/>
      <c r="K145" s="192">
        <f t="shared" si="7"/>
        <v>0</v>
      </c>
      <c r="L145" s="192">
        <f t="shared" si="8"/>
        <v>0</v>
      </c>
      <c r="M145" s="192">
        <v>411.4</v>
      </c>
      <c r="N145" s="192">
        <f>+M145*1000/(104.2*4*16*60)*T145</f>
        <v>2.0563419705694179</v>
      </c>
      <c r="O145" s="192"/>
      <c r="P145" s="192">
        <f t="shared" si="9"/>
        <v>0</v>
      </c>
      <c r="Q145" s="192"/>
      <c r="R145" s="19">
        <f t="shared" si="10"/>
        <v>0</v>
      </c>
      <c r="S145" s="192">
        <f t="shared" si="11"/>
        <v>0</v>
      </c>
      <c r="T145" s="20">
        <v>2</v>
      </c>
      <c r="U145" s="20"/>
      <c r="V145" s="19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95">
        <v>300309</v>
      </c>
      <c r="B146" s="190">
        <v>6504</v>
      </c>
      <c r="C146" s="226" t="s">
        <v>145</v>
      </c>
      <c r="D146" s="226"/>
      <c r="E146" s="194" t="s">
        <v>47</v>
      </c>
      <c r="F146" s="27"/>
      <c r="G146" s="110"/>
      <c r="H146" s="110"/>
      <c r="I146" s="110"/>
      <c r="J146" s="110"/>
      <c r="K146" s="192">
        <f t="shared" si="7"/>
        <v>0</v>
      </c>
      <c r="L146" s="192">
        <f t="shared" si="8"/>
        <v>0</v>
      </c>
      <c r="M146" s="192">
        <v>316.88</v>
      </c>
      <c r="N146" s="15">
        <f>+M146*1000/(75.2*4*16*60)*T146</f>
        <v>6.5841090425531918</v>
      </c>
      <c r="O146" s="192"/>
      <c r="P146" s="192">
        <f t="shared" si="9"/>
        <v>0</v>
      </c>
      <c r="Q146" s="192"/>
      <c r="R146" s="19">
        <f t="shared" si="10"/>
        <v>0</v>
      </c>
      <c r="S146" s="192">
        <f t="shared" si="11"/>
        <v>0</v>
      </c>
      <c r="T146" s="20">
        <v>6</v>
      </c>
      <c r="U146" s="20"/>
      <c r="V146" s="19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95">
        <v>300310</v>
      </c>
      <c r="B147" s="190">
        <v>6504</v>
      </c>
      <c r="C147" s="226" t="s">
        <v>145</v>
      </c>
      <c r="D147" s="226"/>
      <c r="E147" s="194" t="s">
        <v>146</v>
      </c>
      <c r="F147" s="27"/>
      <c r="G147" s="110"/>
      <c r="H147" s="110"/>
      <c r="I147" s="110"/>
      <c r="J147" s="110"/>
      <c r="K147" s="192">
        <f t="shared" si="7"/>
        <v>0</v>
      </c>
      <c r="L147" s="192">
        <f t="shared" si="8"/>
        <v>0</v>
      </c>
      <c r="M147" s="192">
        <v>316.88</v>
      </c>
      <c r="N147" s="15">
        <f>+M147*1000/(75.2*4*16*60)*T147</f>
        <v>6.5841090425531918</v>
      </c>
      <c r="O147" s="192"/>
      <c r="P147" s="192">
        <f t="shared" si="9"/>
        <v>0</v>
      </c>
      <c r="Q147" s="192"/>
      <c r="R147" s="19">
        <f t="shared" si="10"/>
        <v>0</v>
      </c>
      <c r="S147" s="192">
        <f t="shared" si="11"/>
        <v>0</v>
      </c>
      <c r="T147" s="20">
        <v>6</v>
      </c>
      <c r="U147" s="20"/>
      <c r="V147" s="19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95">
        <v>300312</v>
      </c>
      <c r="B148" s="190">
        <v>6504</v>
      </c>
      <c r="C148" s="226" t="s">
        <v>145</v>
      </c>
      <c r="D148" s="226"/>
      <c r="E148" s="194" t="s">
        <v>147</v>
      </c>
      <c r="F148" s="27"/>
      <c r="G148" s="110"/>
      <c r="H148" s="110"/>
      <c r="I148" s="110"/>
      <c r="J148" s="110"/>
      <c r="K148" s="192">
        <f t="shared" si="7"/>
        <v>0</v>
      </c>
      <c r="L148" s="192">
        <f t="shared" si="8"/>
        <v>0</v>
      </c>
      <c r="M148" s="192">
        <v>316.88</v>
      </c>
      <c r="N148" s="15">
        <f>+M148*1000/(75.2*4*16*60)*T148</f>
        <v>6.5841090425531918</v>
      </c>
      <c r="O148" s="192"/>
      <c r="P148" s="192">
        <f t="shared" si="9"/>
        <v>0</v>
      </c>
      <c r="Q148" s="192"/>
      <c r="R148" s="19">
        <f t="shared" si="10"/>
        <v>0</v>
      </c>
      <c r="S148" s="192">
        <f t="shared" si="11"/>
        <v>0</v>
      </c>
      <c r="T148" s="20">
        <v>6</v>
      </c>
      <c r="U148" s="20"/>
      <c r="V148" s="19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95">
        <v>300311</v>
      </c>
      <c r="B149" s="190">
        <v>6504</v>
      </c>
      <c r="C149" s="237" t="s">
        <v>145</v>
      </c>
      <c r="D149" s="238"/>
      <c r="E149" s="194" t="s">
        <v>74</v>
      </c>
      <c r="F149" s="27"/>
      <c r="G149" s="110"/>
      <c r="H149" s="110"/>
      <c r="I149" s="110"/>
      <c r="J149" s="110"/>
      <c r="K149" s="192">
        <f t="shared" si="7"/>
        <v>0</v>
      </c>
      <c r="L149" s="192">
        <f t="shared" si="8"/>
        <v>0</v>
      </c>
      <c r="M149" s="192">
        <v>316.88</v>
      </c>
      <c r="N149" s="15">
        <f>+M149*1000/(75.2*4*16*60)*T149</f>
        <v>6.5841090425531918</v>
      </c>
      <c r="O149" s="192"/>
      <c r="P149" s="192">
        <f t="shared" si="9"/>
        <v>0</v>
      </c>
      <c r="Q149" s="192"/>
      <c r="R149" s="19">
        <f t="shared" si="10"/>
        <v>0</v>
      </c>
      <c r="S149" s="192">
        <f t="shared" si="11"/>
        <v>0</v>
      </c>
      <c r="T149" s="20">
        <v>6</v>
      </c>
      <c r="U149" s="20"/>
      <c r="V149" s="19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95">
        <v>300399</v>
      </c>
      <c r="B150" s="190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92">
        <f t="shared" si="7"/>
        <v>0</v>
      </c>
      <c r="L150" s="192">
        <f t="shared" si="8"/>
        <v>0</v>
      </c>
      <c r="M150" s="192">
        <v>311.2</v>
      </c>
      <c r="N150" s="40">
        <f>+M150*1000/(100*4*16*60)*T150</f>
        <v>4.8624999999999998</v>
      </c>
      <c r="O150" s="192"/>
      <c r="P150" s="192">
        <f t="shared" si="9"/>
        <v>0</v>
      </c>
      <c r="Q150" s="192"/>
      <c r="R150" s="19">
        <f t="shared" si="10"/>
        <v>0</v>
      </c>
      <c r="S150" s="192">
        <f t="shared" si="11"/>
        <v>0</v>
      </c>
      <c r="T150" s="43">
        <v>6</v>
      </c>
      <c r="U150" s="20"/>
      <c r="V150" s="19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95">
        <v>300400</v>
      </c>
      <c r="B151" s="190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92">
        <f t="shared" si="7"/>
        <v>0</v>
      </c>
      <c r="L151" s="192">
        <f t="shared" si="8"/>
        <v>0</v>
      </c>
      <c r="M151" s="192">
        <v>311.2</v>
      </c>
      <c r="N151" s="40">
        <f>+M151*1000/(100*4*16*60)*T151</f>
        <v>4.8624999999999998</v>
      </c>
      <c r="O151" s="192"/>
      <c r="P151" s="192">
        <f t="shared" si="9"/>
        <v>0</v>
      </c>
      <c r="Q151" s="192"/>
      <c r="R151" s="19">
        <f t="shared" si="10"/>
        <v>0</v>
      </c>
      <c r="S151" s="192">
        <f t="shared" si="11"/>
        <v>0</v>
      </c>
      <c r="T151" s="43">
        <v>6</v>
      </c>
      <c r="U151" s="20"/>
      <c r="V151" s="19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95">
        <v>300401</v>
      </c>
      <c r="B152" s="190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92">
        <f t="shared" si="7"/>
        <v>0</v>
      </c>
      <c r="L152" s="192">
        <f t="shared" si="8"/>
        <v>0</v>
      </c>
      <c r="M152" s="192">
        <v>311.2</v>
      </c>
      <c r="N152" s="40">
        <f>+M152*1000/(100*4*16*60)*T152</f>
        <v>4.8624999999999998</v>
      </c>
      <c r="O152" s="192"/>
      <c r="P152" s="192">
        <f t="shared" si="9"/>
        <v>0</v>
      </c>
      <c r="Q152" s="192"/>
      <c r="R152" s="19">
        <f t="shared" si="10"/>
        <v>0</v>
      </c>
      <c r="S152" s="192">
        <f t="shared" si="11"/>
        <v>0</v>
      </c>
      <c r="T152" s="43">
        <v>6</v>
      </c>
      <c r="U152" s="20"/>
      <c r="V152" s="19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95">
        <v>300402</v>
      </c>
      <c r="B153" s="190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92">
        <f t="shared" si="7"/>
        <v>0</v>
      </c>
      <c r="L153" s="192">
        <f t="shared" si="8"/>
        <v>0</v>
      </c>
      <c r="M153" s="192">
        <v>465.3</v>
      </c>
      <c r="N153" s="40">
        <f>+M153*1000/(137*4*16*60)*T153</f>
        <v>5.3067974452554747</v>
      </c>
      <c r="O153" s="192"/>
      <c r="P153" s="192">
        <f t="shared" si="9"/>
        <v>0</v>
      </c>
      <c r="Q153" s="192"/>
      <c r="R153" s="19">
        <f t="shared" si="10"/>
        <v>0</v>
      </c>
      <c r="S153" s="192">
        <f t="shared" si="11"/>
        <v>0</v>
      </c>
      <c r="T153" s="43">
        <v>6</v>
      </c>
      <c r="U153" s="20"/>
      <c r="V153" s="19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95">
        <v>300403</v>
      </c>
      <c r="B154" s="190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92">
        <f t="shared" ref="K154:K190" si="15">G154*M154</f>
        <v>0</v>
      </c>
      <c r="L154" s="192">
        <f t="shared" ref="L154:L190" si="16">I154*M154</f>
        <v>0</v>
      </c>
      <c r="M154" s="192">
        <v>465.3</v>
      </c>
      <c r="N154" s="40">
        <f>+M154*1000/(137*4*16*60)*T154</f>
        <v>5.3067974452554747</v>
      </c>
      <c r="O154" s="192"/>
      <c r="P154" s="192">
        <f t="shared" ref="P154:P190" si="17">N154*I154+O154*U154</f>
        <v>0</v>
      </c>
      <c r="Q154" s="192"/>
      <c r="R154" s="19">
        <f t="shared" ref="R154:R190" si="18">Q154*U154</f>
        <v>0</v>
      </c>
      <c r="S154" s="192">
        <f t="shared" ref="S154:S190" si="19">R154-P154</f>
        <v>0</v>
      </c>
      <c r="T154" s="43">
        <v>6</v>
      </c>
      <c r="U154" s="20"/>
      <c r="V154" s="19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95">
        <v>300404</v>
      </c>
      <c r="B155" s="190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92">
        <f t="shared" si="15"/>
        <v>0</v>
      </c>
      <c r="L155" s="192">
        <f t="shared" si="16"/>
        <v>0</v>
      </c>
      <c r="M155" s="192">
        <v>465.3</v>
      </c>
      <c r="N155" s="40">
        <f>+M155*1000/(137*4*16*60)*T155</f>
        <v>5.3067974452554747</v>
      </c>
      <c r="O155" s="192"/>
      <c r="P155" s="192">
        <f t="shared" si="17"/>
        <v>0</v>
      </c>
      <c r="Q155" s="192"/>
      <c r="R155" s="19">
        <f t="shared" si="18"/>
        <v>0</v>
      </c>
      <c r="S155" s="192">
        <f t="shared" si="19"/>
        <v>0</v>
      </c>
      <c r="T155" s="43">
        <v>6</v>
      </c>
      <c r="U155" s="20"/>
      <c r="V155" s="19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95">
        <v>300405</v>
      </c>
      <c r="B156" s="190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92">
        <f t="shared" si="15"/>
        <v>0</v>
      </c>
      <c r="L156" s="192">
        <f t="shared" si="16"/>
        <v>0</v>
      </c>
      <c r="M156" s="192">
        <v>465.3</v>
      </c>
      <c r="N156" s="40">
        <f>+M156*1000/(137*4*16*60)*T156</f>
        <v>5.3067974452554747</v>
      </c>
      <c r="O156" s="192"/>
      <c r="P156" s="192">
        <f t="shared" si="17"/>
        <v>0</v>
      </c>
      <c r="Q156" s="192"/>
      <c r="R156" s="19">
        <f t="shared" si="18"/>
        <v>0</v>
      </c>
      <c r="S156" s="192">
        <f t="shared" si="19"/>
        <v>0</v>
      </c>
      <c r="T156" s="43">
        <v>6</v>
      </c>
      <c r="U156" s="20"/>
      <c r="V156" s="19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95">
        <v>300372</v>
      </c>
      <c r="B157" s="190">
        <v>18501</v>
      </c>
      <c r="C157" s="237" t="s">
        <v>153</v>
      </c>
      <c r="D157" s="238"/>
      <c r="E157" s="194" t="s">
        <v>47</v>
      </c>
      <c r="F157" s="27"/>
      <c r="G157" s="110"/>
      <c r="H157" s="110"/>
      <c r="I157" s="110"/>
      <c r="J157" s="110"/>
      <c r="K157" s="192">
        <f t="shared" si="15"/>
        <v>0</v>
      </c>
      <c r="L157" s="192">
        <f t="shared" si="16"/>
        <v>0</v>
      </c>
      <c r="M157" s="192">
        <v>420.58</v>
      </c>
      <c r="N157" s="15">
        <f>+M157*1000/(140*4*16*60)*T157</f>
        <v>4.6939732142857142</v>
      </c>
      <c r="O157" s="192"/>
      <c r="P157" s="192">
        <f t="shared" si="17"/>
        <v>0</v>
      </c>
      <c r="Q157" s="192"/>
      <c r="R157" s="19">
        <f t="shared" si="18"/>
        <v>0</v>
      </c>
      <c r="S157" s="192">
        <f t="shared" si="19"/>
        <v>0</v>
      </c>
      <c r="T157" s="20">
        <v>6</v>
      </c>
      <c r="U157" s="20"/>
      <c r="V157" s="19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95">
        <v>300373</v>
      </c>
      <c r="B158" s="190">
        <v>18501</v>
      </c>
      <c r="C158" s="237" t="s">
        <v>153</v>
      </c>
      <c r="D158" s="238"/>
      <c r="E158" s="194" t="s">
        <v>146</v>
      </c>
      <c r="F158" s="27"/>
      <c r="G158" s="110"/>
      <c r="H158" s="110"/>
      <c r="I158" s="110"/>
      <c r="J158" s="110"/>
      <c r="K158" s="192">
        <f t="shared" si="15"/>
        <v>0</v>
      </c>
      <c r="L158" s="192">
        <f t="shared" si="16"/>
        <v>0</v>
      </c>
      <c r="M158" s="192">
        <v>420.58</v>
      </c>
      <c r="N158" s="15">
        <f>+M158*1000/(140*4*16*60)*T158</f>
        <v>4.6939732142857142</v>
      </c>
      <c r="O158" s="192"/>
      <c r="P158" s="192">
        <f t="shared" si="17"/>
        <v>0</v>
      </c>
      <c r="Q158" s="192"/>
      <c r="R158" s="19">
        <f t="shared" si="18"/>
        <v>0</v>
      </c>
      <c r="S158" s="192">
        <f t="shared" si="19"/>
        <v>0</v>
      </c>
      <c r="T158" s="20">
        <v>6</v>
      </c>
      <c r="U158" s="20"/>
      <c r="V158" s="19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95">
        <v>300374</v>
      </c>
      <c r="B159" s="190">
        <v>18501</v>
      </c>
      <c r="C159" s="237" t="s">
        <v>153</v>
      </c>
      <c r="D159" s="238"/>
      <c r="E159" s="194" t="s">
        <v>147</v>
      </c>
      <c r="F159" s="27"/>
      <c r="G159" s="110"/>
      <c r="H159" s="110"/>
      <c r="I159" s="110"/>
      <c r="J159" s="110"/>
      <c r="K159" s="192">
        <f t="shared" si="15"/>
        <v>0</v>
      </c>
      <c r="L159" s="192">
        <f t="shared" si="16"/>
        <v>0</v>
      </c>
      <c r="M159" s="192">
        <v>420.58</v>
      </c>
      <c r="N159" s="15">
        <f>+M159*1000/(140*4*16*60)*T159</f>
        <v>4.6939732142857142</v>
      </c>
      <c r="O159" s="192"/>
      <c r="P159" s="192">
        <f t="shared" si="17"/>
        <v>0</v>
      </c>
      <c r="Q159" s="192"/>
      <c r="R159" s="19">
        <f t="shared" si="18"/>
        <v>0</v>
      </c>
      <c r="S159" s="192">
        <f t="shared" si="19"/>
        <v>0</v>
      </c>
      <c r="T159" s="20">
        <v>6</v>
      </c>
      <c r="U159" s="20"/>
      <c r="V159" s="19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95">
        <v>300375</v>
      </c>
      <c r="B160" s="190">
        <v>18501</v>
      </c>
      <c r="C160" s="237" t="s">
        <v>153</v>
      </c>
      <c r="D160" s="238"/>
      <c r="E160" s="194" t="s">
        <v>74</v>
      </c>
      <c r="F160" s="27"/>
      <c r="G160" s="110"/>
      <c r="H160" s="110"/>
      <c r="I160" s="110"/>
      <c r="J160" s="110"/>
      <c r="K160" s="192">
        <f t="shared" si="15"/>
        <v>0</v>
      </c>
      <c r="L160" s="192">
        <f t="shared" si="16"/>
        <v>0</v>
      </c>
      <c r="M160" s="192">
        <v>420.58</v>
      </c>
      <c r="N160" s="15">
        <f>+M160*1000/(140*4*16*60)*T160</f>
        <v>4.6939732142857142</v>
      </c>
      <c r="O160" s="192"/>
      <c r="P160" s="192">
        <f t="shared" si="17"/>
        <v>0</v>
      </c>
      <c r="Q160" s="192"/>
      <c r="R160" s="19">
        <f t="shared" si="18"/>
        <v>0</v>
      </c>
      <c r="S160" s="192">
        <f t="shared" si="19"/>
        <v>0</v>
      </c>
      <c r="T160" s="20">
        <v>6</v>
      </c>
      <c r="U160" s="20"/>
      <c r="V160" s="19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95">
        <v>300341</v>
      </c>
      <c r="B161" s="190">
        <v>18501</v>
      </c>
      <c r="C161" s="244" t="s">
        <v>154</v>
      </c>
      <c r="D161" s="245"/>
      <c r="E161" s="194" t="s">
        <v>39</v>
      </c>
      <c r="F161" s="27"/>
      <c r="G161" s="110"/>
      <c r="H161" s="110"/>
      <c r="I161" s="110"/>
      <c r="J161" s="110"/>
      <c r="K161" s="192">
        <f t="shared" si="15"/>
        <v>0</v>
      </c>
      <c r="L161" s="192">
        <f t="shared" si="16"/>
        <v>0</v>
      </c>
      <c r="M161" s="192">
        <v>439.3</v>
      </c>
      <c r="N161" s="15">
        <f t="shared" ref="N161:N167" si="20">+M161*1000/(169.7*4*13*60)*T161</f>
        <v>4.1485351223123761</v>
      </c>
      <c r="O161" s="192"/>
      <c r="P161" s="192">
        <f t="shared" si="17"/>
        <v>0</v>
      </c>
      <c r="Q161" s="192"/>
      <c r="R161" s="19">
        <f t="shared" si="18"/>
        <v>0</v>
      </c>
      <c r="S161" s="192">
        <f t="shared" si="19"/>
        <v>0</v>
      </c>
      <c r="T161" s="20">
        <v>5</v>
      </c>
      <c r="U161" s="20"/>
      <c r="V161" s="19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95">
        <v>300342</v>
      </c>
      <c r="B162" s="190">
        <v>18501</v>
      </c>
      <c r="C162" s="244" t="s">
        <v>154</v>
      </c>
      <c r="D162" s="245"/>
      <c r="E162" s="194" t="s">
        <v>80</v>
      </c>
      <c r="F162" s="27"/>
      <c r="G162" s="110"/>
      <c r="H162" s="110"/>
      <c r="I162" s="110"/>
      <c r="J162" s="110"/>
      <c r="K162" s="192">
        <f t="shared" si="15"/>
        <v>0</v>
      </c>
      <c r="L162" s="192">
        <f t="shared" si="16"/>
        <v>0</v>
      </c>
      <c r="M162" s="192">
        <v>439.3</v>
      </c>
      <c r="N162" s="15">
        <f t="shared" si="20"/>
        <v>4.1485351223123761</v>
      </c>
      <c r="O162" s="192"/>
      <c r="P162" s="192">
        <f t="shared" si="17"/>
        <v>0</v>
      </c>
      <c r="Q162" s="192"/>
      <c r="R162" s="19">
        <f t="shared" si="18"/>
        <v>0</v>
      </c>
      <c r="S162" s="192">
        <f t="shared" si="19"/>
        <v>0</v>
      </c>
      <c r="T162" s="20">
        <v>5</v>
      </c>
      <c r="U162" s="20"/>
      <c r="V162" s="19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95">
        <v>300343</v>
      </c>
      <c r="B163" s="190">
        <v>18501</v>
      </c>
      <c r="C163" s="244" t="s">
        <v>154</v>
      </c>
      <c r="D163" s="245"/>
      <c r="E163" s="194" t="s">
        <v>35</v>
      </c>
      <c r="F163" s="27"/>
      <c r="G163" s="110"/>
      <c r="H163" s="110"/>
      <c r="I163" s="110"/>
      <c r="J163" s="110"/>
      <c r="K163" s="192">
        <f t="shared" si="15"/>
        <v>0</v>
      </c>
      <c r="L163" s="192">
        <f t="shared" si="16"/>
        <v>0</v>
      </c>
      <c r="M163" s="192">
        <v>455.4</v>
      </c>
      <c r="N163" s="15">
        <f t="shared" si="20"/>
        <v>4.3005756765332483</v>
      </c>
      <c r="O163" s="192"/>
      <c r="P163" s="192">
        <f t="shared" si="17"/>
        <v>0</v>
      </c>
      <c r="Q163" s="192"/>
      <c r="R163" s="19">
        <f t="shared" si="18"/>
        <v>0</v>
      </c>
      <c r="S163" s="192">
        <f t="shared" si="19"/>
        <v>0</v>
      </c>
      <c r="T163" s="20">
        <v>5</v>
      </c>
      <c r="U163" s="20"/>
      <c r="V163" s="19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95">
        <v>300344</v>
      </c>
      <c r="B164" s="190">
        <v>18501</v>
      </c>
      <c r="C164" s="244" t="s">
        <v>154</v>
      </c>
      <c r="D164" s="245"/>
      <c r="E164" s="194" t="s">
        <v>40</v>
      </c>
      <c r="F164" s="27"/>
      <c r="G164" s="110"/>
      <c r="H164" s="110"/>
      <c r="I164" s="110"/>
      <c r="J164" s="110"/>
      <c r="K164" s="192">
        <f t="shared" si="15"/>
        <v>0</v>
      </c>
      <c r="L164" s="192">
        <f t="shared" si="16"/>
        <v>0</v>
      </c>
      <c r="M164" s="192">
        <v>455.4</v>
      </c>
      <c r="N164" s="15">
        <f t="shared" si="20"/>
        <v>4.3005756765332483</v>
      </c>
      <c r="O164" s="192"/>
      <c r="P164" s="192">
        <f t="shared" si="17"/>
        <v>0</v>
      </c>
      <c r="Q164" s="192"/>
      <c r="R164" s="19">
        <f t="shared" si="18"/>
        <v>0</v>
      </c>
      <c r="S164" s="192">
        <f t="shared" si="19"/>
        <v>0</v>
      </c>
      <c r="T164" s="20">
        <v>5</v>
      </c>
      <c r="U164" s="20"/>
      <c r="V164" s="19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95">
        <v>300396</v>
      </c>
      <c r="B165" s="190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92">
        <f t="shared" si="15"/>
        <v>0</v>
      </c>
      <c r="L165" s="192">
        <f t="shared" si="16"/>
        <v>0</v>
      </c>
      <c r="M165" s="40">
        <v>417.1</v>
      </c>
      <c r="N165" s="15">
        <f t="shared" si="20"/>
        <v>3.9388891407158937</v>
      </c>
      <c r="O165" s="192"/>
      <c r="P165" s="192">
        <f t="shared" si="17"/>
        <v>0</v>
      </c>
      <c r="Q165" s="192"/>
      <c r="R165" s="19">
        <f t="shared" si="18"/>
        <v>0</v>
      </c>
      <c r="S165" s="192">
        <f t="shared" si="19"/>
        <v>0</v>
      </c>
      <c r="T165" s="20">
        <v>5</v>
      </c>
      <c r="U165" s="20"/>
      <c r="V165" s="19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95">
        <v>300397</v>
      </c>
      <c r="B166" s="190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92">
        <f t="shared" si="15"/>
        <v>0</v>
      </c>
      <c r="L166" s="192">
        <f t="shared" si="16"/>
        <v>0</v>
      </c>
      <c r="M166" s="40">
        <v>417.1</v>
      </c>
      <c r="N166" s="15">
        <f t="shared" si="20"/>
        <v>3.9388891407158937</v>
      </c>
      <c r="O166" s="192"/>
      <c r="P166" s="192">
        <f t="shared" si="17"/>
        <v>0</v>
      </c>
      <c r="Q166" s="192"/>
      <c r="R166" s="19">
        <f t="shared" si="18"/>
        <v>0</v>
      </c>
      <c r="S166" s="192">
        <f t="shared" si="19"/>
        <v>0</v>
      </c>
      <c r="T166" s="20">
        <v>5</v>
      </c>
      <c r="U166" s="20"/>
      <c r="V166" s="19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95">
        <v>300398</v>
      </c>
      <c r="B167" s="190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92">
        <f t="shared" si="15"/>
        <v>0</v>
      </c>
      <c r="L167" s="192">
        <f t="shared" si="16"/>
        <v>0</v>
      </c>
      <c r="M167" s="40">
        <v>417.1</v>
      </c>
      <c r="N167" s="15">
        <f t="shared" si="20"/>
        <v>3.9388891407158937</v>
      </c>
      <c r="O167" s="192"/>
      <c r="P167" s="192">
        <f t="shared" si="17"/>
        <v>0</v>
      </c>
      <c r="Q167" s="192"/>
      <c r="R167" s="19">
        <f t="shared" si="18"/>
        <v>0</v>
      </c>
      <c r="S167" s="192">
        <f t="shared" si="19"/>
        <v>0</v>
      </c>
      <c r="T167" s="20">
        <v>5</v>
      </c>
      <c r="U167" s="20"/>
      <c r="V167" s="19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95">
        <v>300271</v>
      </c>
      <c r="B168" s="190">
        <v>18501</v>
      </c>
      <c r="C168" s="226" t="s">
        <v>156</v>
      </c>
      <c r="D168" s="226"/>
      <c r="E168" s="194" t="s">
        <v>142</v>
      </c>
      <c r="F168" s="27"/>
      <c r="G168" s="110"/>
      <c r="H168" s="110"/>
      <c r="I168" s="110"/>
      <c r="J168" s="110"/>
      <c r="K168" s="192">
        <f t="shared" si="15"/>
        <v>0</v>
      </c>
      <c r="L168" s="192">
        <f t="shared" si="16"/>
        <v>0</v>
      </c>
      <c r="M168" s="192">
        <v>580.1</v>
      </c>
      <c r="N168" s="192">
        <f>+M168*1000/(202*4*13*60)*T168</f>
        <v>3.6817720233561819</v>
      </c>
      <c r="O168" s="192"/>
      <c r="P168" s="192">
        <f t="shared" si="17"/>
        <v>0</v>
      </c>
      <c r="Q168" s="192"/>
      <c r="R168" s="19">
        <f t="shared" si="18"/>
        <v>0</v>
      </c>
      <c r="S168" s="192">
        <f t="shared" si="19"/>
        <v>0</v>
      </c>
      <c r="T168" s="20">
        <v>4</v>
      </c>
      <c r="U168" s="20"/>
      <c r="V168" s="19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95">
        <v>300009</v>
      </c>
      <c r="B169" s="190">
        <v>18501</v>
      </c>
      <c r="C169" s="226" t="s">
        <v>157</v>
      </c>
      <c r="D169" s="226" t="s">
        <v>158</v>
      </c>
      <c r="E169" s="194" t="s">
        <v>135</v>
      </c>
      <c r="F169" s="27"/>
      <c r="G169" s="110"/>
      <c r="H169" s="110"/>
      <c r="I169" s="110"/>
      <c r="J169" s="110"/>
      <c r="K169" s="192">
        <f t="shared" si="15"/>
        <v>0</v>
      </c>
      <c r="L169" s="192">
        <f t="shared" si="16"/>
        <v>0</v>
      </c>
      <c r="M169" s="15">
        <v>520.79999999999995</v>
      </c>
      <c r="N169" s="192">
        <f>+M169*1000/(188*4*13*60)*T169</f>
        <v>5.3273322422258591</v>
      </c>
      <c r="O169" s="192"/>
      <c r="P169" s="192">
        <f t="shared" si="17"/>
        <v>0</v>
      </c>
      <c r="Q169" s="192"/>
      <c r="R169" s="19">
        <f t="shared" si="18"/>
        <v>0</v>
      </c>
      <c r="S169" s="192">
        <f t="shared" si="19"/>
        <v>0</v>
      </c>
      <c r="T169" s="20">
        <v>6</v>
      </c>
      <c r="U169" s="20"/>
      <c r="V169" s="19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95">
        <v>300010</v>
      </c>
      <c r="B170" s="190">
        <v>18501</v>
      </c>
      <c r="C170" s="226" t="s">
        <v>157</v>
      </c>
      <c r="D170" s="226" t="s">
        <v>158</v>
      </c>
      <c r="E170" s="194" t="s">
        <v>80</v>
      </c>
      <c r="F170" s="27"/>
      <c r="G170" s="110"/>
      <c r="H170" s="110"/>
      <c r="I170" s="110"/>
      <c r="J170" s="113"/>
      <c r="K170" s="192">
        <f t="shared" si="15"/>
        <v>0</v>
      </c>
      <c r="L170" s="192">
        <f t="shared" si="16"/>
        <v>0</v>
      </c>
      <c r="M170" s="15">
        <v>530.9</v>
      </c>
      <c r="N170" s="192">
        <f>+M170*1000/(188*4*13*60)*T170</f>
        <v>4.5255387343153304</v>
      </c>
      <c r="O170" s="192"/>
      <c r="P170" s="192">
        <f t="shared" si="17"/>
        <v>0</v>
      </c>
      <c r="Q170" s="192"/>
      <c r="R170" s="19">
        <f t="shared" si="18"/>
        <v>0</v>
      </c>
      <c r="S170" s="192">
        <f t="shared" si="19"/>
        <v>0</v>
      </c>
      <c r="T170" s="20">
        <v>5</v>
      </c>
      <c r="U170" s="20"/>
      <c r="V170" s="19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95">
        <v>300305</v>
      </c>
      <c r="B171" s="190">
        <v>18501</v>
      </c>
      <c r="C171" s="226" t="s">
        <v>159</v>
      </c>
      <c r="D171" s="226" t="s">
        <v>160</v>
      </c>
      <c r="E171" s="194" t="s">
        <v>57</v>
      </c>
      <c r="F171" s="27"/>
      <c r="G171" s="110"/>
      <c r="H171" s="110"/>
      <c r="I171" s="110"/>
      <c r="J171" s="113"/>
      <c r="K171" s="192">
        <f t="shared" si="15"/>
        <v>0</v>
      </c>
      <c r="L171" s="192">
        <f t="shared" si="16"/>
        <v>0</v>
      </c>
      <c r="M171" s="192">
        <v>530.20000000000005</v>
      </c>
      <c r="N171" s="192">
        <f t="shared" ref="N171:N176" si="21">+M171*1000/(202*4*13*60)*T171</f>
        <v>4.2063340949479562</v>
      </c>
      <c r="O171" s="192"/>
      <c r="P171" s="192">
        <f t="shared" si="17"/>
        <v>0</v>
      </c>
      <c r="Q171" s="192"/>
      <c r="R171" s="19">
        <f t="shared" si="18"/>
        <v>0</v>
      </c>
      <c r="S171" s="192">
        <f t="shared" si="19"/>
        <v>0</v>
      </c>
      <c r="T171" s="20">
        <v>5</v>
      </c>
      <c r="U171" s="20"/>
      <c r="V171" s="19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95">
        <v>300306</v>
      </c>
      <c r="B172" s="190">
        <v>18501</v>
      </c>
      <c r="C172" s="226" t="s">
        <v>159</v>
      </c>
      <c r="D172" s="226" t="s">
        <v>160</v>
      </c>
      <c r="E172" s="194" t="s">
        <v>117</v>
      </c>
      <c r="F172" s="27"/>
      <c r="G172" s="110"/>
      <c r="H172" s="110"/>
      <c r="I172" s="110"/>
      <c r="J172" s="110"/>
      <c r="K172" s="192">
        <f t="shared" si="15"/>
        <v>0</v>
      </c>
      <c r="L172" s="192">
        <f t="shared" si="16"/>
        <v>0</v>
      </c>
      <c r="M172" s="192">
        <v>538.79999999999995</v>
      </c>
      <c r="N172" s="192">
        <f t="shared" si="21"/>
        <v>4.2745620715917747</v>
      </c>
      <c r="O172" s="192"/>
      <c r="P172" s="192">
        <f t="shared" si="17"/>
        <v>0</v>
      </c>
      <c r="Q172" s="192"/>
      <c r="R172" s="19">
        <f t="shared" si="18"/>
        <v>0</v>
      </c>
      <c r="S172" s="192">
        <f t="shared" si="19"/>
        <v>0</v>
      </c>
      <c r="T172" s="20">
        <v>5</v>
      </c>
      <c r="U172" s="20"/>
      <c r="V172" s="19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95">
        <v>300307</v>
      </c>
      <c r="B173" s="190">
        <v>18501</v>
      </c>
      <c r="C173" s="226" t="s">
        <v>159</v>
      </c>
      <c r="D173" s="226" t="s">
        <v>160</v>
      </c>
      <c r="E173" s="194" t="s">
        <v>133</v>
      </c>
      <c r="F173" s="27"/>
      <c r="G173" s="110"/>
      <c r="H173" s="110"/>
      <c r="I173" s="110"/>
      <c r="J173" s="110"/>
      <c r="K173" s="192">
        <f t="shared" si="15"/>
        <v>0</v>
      </c>
      <c r="L173" s="192">
        <f t="shared" si="16"/>
        <v>0</v>
      </c>
      <c r="M173" s="192">
        <v>569</v>
      </c>
      <c r="N173" s="192">
        <f t="shared" si="21"/>
        <v>4.5141533384107637</v>
      </c>
      <c r="O173" s="192"/>
      <c r="P173" s="192">
        <f t="shared" si="17"/>
        <v>0</v>
      </c>
      <c r="Q173" s="192"/>
      <c r="R173" s="19">
        <f t="shared" si="18"/>
        <v>0</v>
      </c>
      <c r="S173" s="192">
        <f t="shared" si="19"/>
        <v>0</v>
      </c>
      <c r="T173" s="20">
        <v>5</v>
      </c>
      <c r="U173" s="20"/>
      <c r="V173" s="19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95">
        <v>300308</v>
      </c>
      <c r="B174" s="190">
        <v>18501</v>
      </c>
      <c r="C174" s="226" t="s">
        <v>159</v>
      </c>
      <c r="D174" s="226" t="s">
        <v>160</v>
      </c>
      <c r="E174" s="194" t="s">
        <v>132</v>
      </c>
      <c r="F174" s="27"/>
      <c r="G174" s="110"/>
      <c r="H174" s="110"/>
      <c r="I174" s="110"/>
      <c r="J174" s="110"/>
      <c r="K174" s="192">
        <f t="shared" si="15"/>
        <v>0</v>
      </c>
      <c r="L174" s="192">
        <f t="shared" si="16"/>
        <v>0</v>
      </c>
      <c r="M174" s="192">
        <v>523.6</v>
      </c>
      <c r="N174" s="192">
        <f t="shared" si="21"/>
        <v>4.1539730896166542</v>
      </c>
      <c r="O174" s="192"/>
      <c r="P174" s="192">
        <f t="shared" si="17"/>
        <v>0</v>
      </c>
      <c r="Q174" s="192"/>
      <c r="R174" s="19">
        <f t="shared" si="18"/>
        <v>0</v>
      </c>
      <c r="S174" s="192">
        <f t="shared" si="19"/>
        <v>0</v>
      </c>
      <c r="T174" s="20">
        <v>5</v>
      </c>
      <c r="U174" s="20"/>
      <c r="V174" s="19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95">
        <v>300182</v>
      </c>
      <c r="B175" s="190">
        <v>18501</v>
      </c>
      <c r="C175" s="226" t="s">
        <v>161</v>
      </c>
      <c r="D175" s="226" t="s">
        <v>160</v>
      </c>
      <c r="E175" s="194" t="s">
        <v>80</v>
      </c>
      <c r="F175" s="27"/>
      <c r="G175" s="110"/>
      <c r="H175" s="110"/>
      <c r="I175" s="110"/>
      <c r="J175" s="110"/>
      <c r="K175" s="192">
        <f t="shared" si="15"/>
        <v>0</v>
      </c>
      <c r="L175" s="192">
        <f t="shared" si="16"/>
        <v>0</v>
      </c>
      <c r="M175" s="15">
        <v>649.1</v>
      </c>
      <c r="N175" s="192">
        <f t="shared" si="21"/>
        <v>5.1496255394770252</v>
      </c>
      <c r="O175" s="192"/>
      <c r="P175" s="192">
        <f t="shared" si="17"/>
        <v>0</v>
      </c>
      <c r="Q175" s="192"/>
      <c r="R175" s="19">
        <f t="shared" si="18"/>
        <v>0</v>
      </c>
      <c r="S175" s="192">
        <f t="shared" si="19"/>
        <v>0</v>
      </c>
      <c r="T175" s="20">
        <v>5</v>
      </c>
      <c r="U175" s="20"/>
      <c r="V175" s="19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95">
        <v>300185</v>
      </c>
      <c r="B176" s="190">
        <v>18501</v>
      </c>
      <c r="C176" s="226" t="s">
        <v>161</v>
      </c>
      <c r="D176" s="226" t="s">
        <v>160</v>
      </c>
      <c r="E176" s="194" t="s">
        <v>135</v>
      </c>
      <c r="F176" s="27"/>
      <c r="G176" s="110"/>
      <c r="H176" s="110"/>
      <c r="I176" s="110"/>
      <c r="J176" s="110"/>
      <c r="K176" s="192">
        <f t="shared" si="15"/>
        <v>0</v>
      </c>
      <c r="L176" s="192">
        <f t="shared" si="16"/>
        <v>0</v>
      </c>
      <c r="M176" s="15">
        <v>638</v>
      </c>
      <c r="N176" s="192">
        <f t="shared" si="21"/>
        <v>6.0738766184310737</v>
      </c>
      <c r="O176" s="192"/>
      <c r="P176" s="192">
        <f t="shared" si="17"/>
        <v>0</v>
      </c>
      <c r="Q176" s="192"/>
      <c r="R176" s="19">
        <f t="shared" si="18"/>
        <v>0</v>
      </c>
      <c r="S176" s="192">
        <f t="shared" si="19"/>
        <v>0</v>
      </c>
      <c r="T176" s="20">
        <v>6</v>
      </c>
      <c r="U176" s="20"/>
      <c r="V176" s="19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95">
        <v>300272</v>
      </c>
      <c r="B177" s="190">
        <v>18502</v>
      </c>
      <c r="C177" s="226" t="s">
        <v>162</v>
      </c>
      <c r="D177" s="226"/>
      <c r="E177" s="194" t="s">
        <v>42</v>
      </c>
      <c r="F177" s="27"/>
      <c r="G177" s="110"/>
      <c r="H177" s="110"/>
      <c r="I177" s="110"/>
      <c r="J177" s="110"/>
      <c r="K177" s="192">
        <f t="shared" si="15"/>
        <v>0</v>
      </c>
      <c r="L177" s="192">
        <f t="shared" si="16"/>
        <v>0</v>
      </c>
      <c r="M177" s="192">
        <v>523.9</v>
      </c>
      <c r="N177" s="192">
        <f>+M177*1000/(128*4*13*60)*T177</f>
        <v>5.247395833333333</v>
      </c>
      <c r="O177" s="192"/>
      <c r="P177" s="192">
        <f t="shared" si="17"/>
        <v>0</v>
      </c>
      <c r="Q177" s="192"/>
      <c r="R177" s="19">
        <f t="shared" si="18"/>
        <v>0</v>
      </c>
      <c r="S177" s="192">
        <f t="shared" si="19"/>
        <v>0</v>
      </c>
      <c r="T177" s="20">
        <v>4</v>
      </c>
      <c r="U177" s="20"/>
      <c r="V177" s="19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95">
        <v>300273</v>
      </c>
      <c r="B178" s="190">
        <v>18502</v>
      </c>
      <c r="C178" s="226" t="s">
        <v>162</v>
      </c>
      <c r="D178" s="226"/>
      <c r="E178" s="194" t="s">
        <v>163</v>
      </c>
      <c r="F178" s="27"/>
      <c r="G178" s="110"/>
      <c r="H178" s="110"/>
      <c r="I178" s="110"/>
      <c r="J178" s="110"/>
      <c r="K178" s="192">
        <f t="shared" si="15"/>
        <v>0</v>
      </c>
      <c r="L178" s="192">
        <f t="shared" si="16"/>
        <v>0</v>
      </c>
      <c r="M178" s="192">
        <v>523.9</v>
      </c>
      <c r="N178" s="192">
        <f>+M178*1000/(128*4*13*60)*T178</f>
        <v>6.5592447916666661</v>
      </c>
      <c r="O178" s="192"/>
      <c r="P178" s="192">
        <f t="shared" si="17"/>
        <v>0</v>
      </c>
      <c r="Q178" s="192"/>
      <c r="R178" s="19">
        <f t="shared" si="18"/>
        <v>0</v>
      </c>
      <c r="S178" s="192">
        <f t="shared" si="19"/>
        <v>0</v>
      </c>
      <c r="T178" s="20">
        <v>5</v>
      </c>
      <c r="U178" s="20"/>
      <c r="V178" s="19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95">
        <v>300274</v>
      </c>
      <c r="B179" s="190">
        <v>18502</v>
      </c>
      <c r="C179" s="226" t="s">
        <v>162</v>
      </c>
      <c r="D179" s="226"/>
      <c r="E179" s="194" t="s">
        <v>146</v>
      </c>
      <c r="F179" s="27"/>
      <c r="G179" s="110"/>
      <c r="H179" s="110"/>
      <c r="I179" s="110"/>
      <c r="J179" s="110"/>
      <c r="K179" s="192">
        <f t="shared" si="15"/>
        <v>0</v>
      </c>
      <c r="L179" s="192">
        <f t="shared" si="16"/>
        <v>0</v>
      </c>
      <c r="M179" s="192">
        <v>523.9</v>
      </c>
      <c r="N179" s="192">
        <f>+M179*1000/(128*4*13*60)*T179</f>
        <v>5.247395833333333</v>
      </c>
      <c r="O179" s="192"/>
      <c r="P179" s="192">
        <f t="shared" si="17"/>
        <v>0</v>
      </c>
      <c r="Q179" s="192"/>
      <c r="R179" s="19">
        <f t="shared" si="18"/>
        <v>0</v>
      </c>
      <c r="S179" s="192">
        <f t="shared" si="19"/>
        <v>0</v>
      </c>
      <c r="T179" s="20">
        <v>4</v>
      </c>
      <c r="U179" s="20"/>
      <c r="V179" s="19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95">
        <v>300275</v>
      </c>
      <c r="B180" s="190">
        <v>18502</v>
      </c>
      <c r="C180" s="226" t="s">
        <v>162</v>
      </c>
      <c r="D180" s="226"/>
      <c r="E180" s="194" t="s">
        <v>164</v>
      </c>
      <c r="F180" s="27"/>
      <c r="G180" s="110"/>
      <c r="H180" s="110"/>
      <c r="I180" s="110"/>
      <c r="J180" s="110"/>
      <c r="K180" s="192">
        <f t="shared" si="15"/>
        <v>0</v>
      </c>
      <c r="L180" s="192">
        <f t="shared" si="16"/>
        <v>0</v>
      </c>
      <c r="M180" s="192">
        <v>523.9</v>
      </c>
      <c r="N180" s="192">
        <f>+M180*1000/(128*4*13*60)*T180</f>
        <v>5.247395833333333</v>
      </c>
      <c r="O180" s="192"/>
      <c r="P180" s="192">
        <f t="shared" si="17"/>
        <v>0</v>
      </c>
      <c r="Q180" s="192"/>
      <c r="R180" s="19">
        <f t="shared" si="18"/>
        <v>0</v>
      </c>
      <c r="S180" s="192">
        <f t="shared" si="19"/>
        <v>0</v>
      </c>
      <c r="T180" s="20">
        <v>4</v>
      </c>
      <c r="U180" s="20"/>
      <c r="V180" s="19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95">
        <v>300285</v>
      </c>
      <c r="B181" s="190">
        <v>13001</v>
      </c>
      <c r="C181" s="226" t="s">
        <v>165</v>
      </c>
      <c r="D181" s="226"/>
      <c r="E181" s="194" t="s">
        <v>37</v>
      </c>
      <c r="F181" s="27"/>
      <c r="G181" s="110"/>
      <c r="H181" s="110"/>
      <c r="I181" s="110"/>
      <c r="J181" s="110"/>
      <c r="K181" s="192">
        <f t="shared" si="15"/>
        <v>0</v>
      </c>
      <c r="L181" s="192">
        <f t="shared" si="16"/>
        <v>0</v>
      </c>
      <c r="M181" s="192">
        <v>438.7</v>
      </c>
      <c r="N181" s="192">
        <f t="shared" ref="N181:N186" si="22">+M181*1000/(90*4*18*60)*T181</f>
        <v>5.6417181069958842</v>
      </c>
      <c r="O181" s="192"/>
      <c r="P181" s="192">
        <f t="shared" si="17"/>
        <v>0</v>
      </c>
      <c r="Q181" s="192"/>
      <c r="R181" s="19">
        <f t="shared" si="18"/>
        <v>0</v>
      </c>
      <c r="S181" s="192">
        <f t="shared" si="19"/>
        <v>0</v>
      </c>
      <c r="T181" s="20">
        <v>5</v>
      </c>
      <c r="U181" s="20"/>
      <c r="V181" s="19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95">
        <v>300287</v>
      </c>
      <c r="B182" s="190">
        <v>13001</v>
      </c>
      <c r="C182" s="226" t="s">
        <v>165</v>
      </c>
      <c r="D182" s="226"/>
      <c r="E182" s="194" t="s">
        <v>57</v>
      </c>
      <c r="F182" s="27"/>
      <c r="G182" s="110"/>
      <c r="H182" s="110"/>
      <c r="I182" s="110"/>
      <c r="J182" s="110"/>
      <c r="K182" s="192">
        <f t="shared" si="15"/>
        <v>0</v>
      </c>
      <c r="L182" s="192">
        <f t="shared" si="16"/>
        <v>0</v>
      </c>
      <c r="M182" s="192">
        <v>438.7</v>
      </c>
      <c r="N182" s="192">
        <f t="shared" si="22"/>
        <v>5.6417181069958842</v>
      </c>
      <c r="O182" s="192"/>
      <c r="P182" s="192">
        <f t="shared" si="17"/>
        <v>0</v>
      </c>
      <c r="Q182" s="192"/>
      <c r="R182" s="19">
        <f t="shared" si="18"/>
        <v>0</v>
      </c>
      <c r="S182" s="192">
        <f t="shared" si="19"/>
        <v>0</v>
      </c>
      <c r="T182" s="20">
        <v>5</v>
      </c>
      <c r="U182" s="20"/>
      <c r="V182" s="19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95">
        <v>300284</v>
      </c>
      <c r="B183" s="190">
        <v>13001</v>
      </c>
      <c r="C183" s="226" t="s">
        <v>165</v>
      </c>
      <c r="D183" s="226"/>
      <c r="E183" s="194" t="s">
        <v>41</v>
      </c>
      <c r="F183" s="27"/>
      <c r="G183" s="110"/>
      <c r="H183" s="110"/>
      <c r="I183" s="110"/>
      <c r="J183" s="110"/>
      <c r="K183" s="192">
        <f t="shared" si="15"/>
        <v>0</v>
      </c>
      <c r="L183" s="192">
        <f t="shared" si="16"/>
        <v>0</v>
      </c>
      <c r="M183" s="192">
        <v>438.7</v>
      </c>
      <c r="N183" s="192">
        <f t="shared" si="22"/>
        <v>5.6417181069958842</v>
      </c>
      <c r="O183" s="192"/>
      <c r="P183" s="192">
        <f t="shared" si="17"/>
        <v>0</v>
      </c>
      <c r="Q183" s="192"/>
      <c r="R183" s="19">
        <f t="shared" si="18"/>
        <v>0</v>
      </c>
      <c r="S183" s="192">
        <f t="shared" si="19"/>
        <v>0</v>
      </c>
      <c r="T183" s="20">
        <v>5</v>
      </c>
      <c r="U183" s="20"/>
      <c r="V183" s="19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95">
        <v>300283</v>
      </c>
      <c r="B184" s="190">
        <v>13001</v>
      </c>
      <c r="C184" s="226" t="s">
        <v>165</v>
      </c>
      <c r="D184" s="226"/>
      <c r="E184" s="194" t="s">
        <v>35</v>
      </c>
      <c r="F184" s="27"/>
      <c r="G184" s="110"/>
      <c r="H184" s="110"/>
      <c r="I184" s="110"/>
      <c r="J184" s="67"/>
      <c r="K184" s="205">
        <f t="shared" si="15"/>
        <v>0</v>
      </c>
      <c r="L184" s="205">
        <f t="shared" si="16"/>
        <v>0</v>
      </c>
      <c r="M184" s="192">
        <v>438.7</v>
      </c>
      <c r="N184" s="192">
        <f t="shared" si="22"/>
        <v>5.6417181069958842</v>
      </c>
      <c r="O184" s="205"/>
      <c r="P184" s="192">
        <f t="shared" si="17"/>
        <v>0</v>
      </c>
      <c r="Q184" s="192"/>
      <c r="R184" s="19">
        <f t="shared" si="18"/>
        <v>0</v>
      </c>
      <c r="S184" s="192">
        <f t="shared" si="19"/>
        <v>0</v>
      </c>
      <c r="T184" s="20">
        <v>5</v>
      </c>
      <c r="U184" s="20"/>
      <c r="V184" s="19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95">
        <v>300289</v>
      </c>
      <c r="B185" s="190">
        <v>13001</v>
      </c>
      <c r="C185" s="226" t="s">
        <v>165</v>
      </c>
      <c r="D185" s="226"/>
      <c r="E185" s="194" t="s">
        <v>66</v>
      </c>
      <c r="F185" s="27"/>
      <c r="G185" s="67"/>
      <c r="H185" s="67"/>
      <c r="I185" s="67"/>
      <c r="J185" s="114"/>
      <c r="K185" s="205">
        <f t="shared" si="15"/>
        <v>0</v>
      </c>
      <c r="L185" s="205">
        <f t="shared" si="16"/>
        <v>0</v>
      </c>
      <c r="M185" s="192">
        <v>438.7</v>
      </c>
      <c r="N185" s="192">
        <f t="shared" si="22"/>
        <v>5.6417181069958842</v>
      </c>
      <c r="O185" s="205"/>
      <c r="P185" s="192">
        <f t="shared" si="17"/>
        <v>0</v>
      </c>
      <c r="Q185" s="192"/>
      <c r="R185" s="19">
        <f t="shared" si="18"/>
        <v>0</v>
      </c>
      <c r="S185" s="192">
        <f t="shared" si="19"/>
        <v>0</v>
      </c>
      <c r="T185" s="20">
        <v>5</v>
      </c>
      <c r="U185" s="20"/>
      <c r="V185" s="19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95">
        <v>300288</v>
      </c>
      <c r="B186" s="190">
        <v>13001</v>
      </c>
      <c r="C186" s="226" t="s">
        <v>165</v>
      </c>
      <c r="D186" s="226"/>
      <c r="E186" s="194" t="s">
        <v>166</v>
      </c>
      <c r="F186" s="27"/>
      <c r="G186" s="192"/>
      <c r="H186" s="192"/>
      <c r="I186" s="110"/>
      <c r="J186" s="110"/>
      <c r="K186" s="192">
        <f t="shared" si="15"/>
        <v>0</v>
      </c>
      <c r="L186" s="192">
        <f t="shared" si="16"/>
        <v>0</v>
      </c>
      <c r="M186" s="192">
        <v>438.7</v>
      </c>
      <c r="N186" s="192">
        <f t="shared" si="22"/>
        <v>5.6417181069958842</v>
      </c>
      <c r="O186" s="192"/>
      <c r="P186" s="192">
        <f t="shared" si="17"/>
        <v>0</v>
      </c>
      <c r="Q186" s="192"/>
      <c r="R186" s="19">
        <f t="shared" si="18"/>
        <v>0</v>
      </c>
      <c r="S186" s="192">
        <f t="shared" si="19"/>
        <v>0</v>
      </c>
      <c r="T186" s="20">
        <v>5</v>
      </c>
      <c r="U186" s="20"/>
      <c r="V186" s="19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99">
        <v>300355</v>
      </c>
      <c r="B187" s="190" t="s">
        <v>167</v>
      </c>
      <c r="C187" s="237" t="s">
        <v>168</v>
      </c>
      <c r="D187" s="238"/>
      <c r="E187" s="33" t="s">
        <v>35</v>
      </c>
      <c r="F187" s="27"/>
      <c r="G187" s="192"/>
      <c r="H187" s="192"/>
      <c r="I187" s="110"/>
      <c r="J187" s="110"/>
      <c r="K187" s="205">
        <f t="shared" si="15"/>
        <v>0</v>
      </c>
      <c r="L187" s="192">
        <f t="shared" si="16"/>
        <v>0</v>
      </c>
      <c r="M187" s="192">
        <v>438</v>
      </c>
      <c r="N187" s="15">
        <f>+M187*1000/(110*4*18*60)*T187</f>
        <v>4.6085858585858581</v>
      </c>
      <c r="O187" s="192"/>
      <c r="P187" s="192">
        <f t="shared" si="17"/>
        <v>0</v>
      </c>
      <c r="Q187" s="192"/>
      <c r="R187" s="19">
        <f t="shared" si="18"/>
        <v>0</v>
      </c>
      <c r="S187" s="192">
        <f t="shared" si="19"/>
        <v>0</v>
      </c>
      <c r="T187" s="20">
        <v>5</v>
      </c>
      <c r="U187" s="20"/>
      <c r="V187" s="19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99">
        <v>300356</v>
      </c>
      <c r="B188" s="190" t="s">
        <v>169</v>
      </c>
      <c r="C188" s="237" t="s">
        <v>168</v>
      </c>
      <c r="D188" s="238"/>
      <c r="E188" s="191" t="s">
        <v>41</v>
      </c>
      <c r="F188" s="27"/>
      <c r="G188" s="192"/>
      <c r="H188" s="192"/>
      <c r="I188" s="110"/>
      <c r="J188" s="110"/>
      <c r="K188" s="205">
        <f t="shared" si="15"/>
        <v>0</v>
      </c>
      <c r="L188" s="192">
        <f t="shared" si="16"/>
        <v>0</v>
      </c>
      <c r="M188" s="192">
        <v>438</v>
      </c>
      <c r="N188" s="15">
        <f>+M188*1000/(110*4*18*60)*T188</f>
        <v>4.6085858585858581</v>
      </c>
      <c r="O188" s="192"/>
      <c r="P188" s="192">
        <f t="shared" si="17"/>
        <v>0</v>
      </c>
      <c r="Q188" s="192"/>
      <c r="R188" s="19">
        <f t="shared" si="18"/>
        <v>0</v>
      </c>
      <c r="S188" s="192">
        <f t="shared" si="19"/>
        <v>0</v>
      </c>
      <c r="T188" s="20">
        <v>5</v>
      </c>
      <c r="U188" s="20"/>
      <c r="V188" s="19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99">
        <v>300357</v>
      </c>
      <c r="B189" s="190" t="s">
        <v>170</v>
      </c>
      <c r="C189" s="237" t="s">
        <v>168</v>
      </c>
      <c r="D189" s="238"/>
      <c r="E189" s="191" t="s">
        <v>37</v>
      </c>
      <c r="F189" s="27"/>
      <c r="G189" s="192"/>
      <c r="H189" s="192"/>
      <c r="I189" s="110"/>
      <c r="J189" s="110"/>
      <c r="K189" s="205">
        <f t="shared" si="15"/>
        <v>0</v>
      </c>
      <c r="L189" s="192">
        <f t="shared" si="16"/>
        <v>0</v>
      </c>
      <c r="M189" s="192">
        <v>438</v>
      </c>
      <c r="N189" s="15">
        <f>+M189*1000/(110*4*18*60)*T189</f>
        <v>4.6085858585858581</v>
      </c>
      <c r="O189" s="192"/>
      <c r="P189" s="192">
        <f t="shared" si="17"/>
        <v>0</v>
      </c>
      <c r="Q189" s="192"/>
      <c r="R189" s="19">
        <f t="shared" si="18"/>
        <v>0</v>
      </c>
      <c r="S189" s="192">
        <f t="shared" si="19"/>
        <v>0</v>
      </c>
      <c r="T189" s="20">
        <v>5</v>
      </c>
      <c r="U189" s="20"/>
      <c r="V189" s="19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99">
        <v>300358</v>
      </c>
      <c r="B190" s="190" t="s">
        <v>171</v>
      </c>
      <c r="C190" s="237" t="s">
        <v>168</v>
      </c>
      <c r="D190" s="238"/>
      <c r="E190" s="191" t="s">
        <v>66</v>
      </c>
      <c r="F190" s="27"/>
      <c r="G190" s="192"/>
      <c r="H190" s="192"/>
      <c r="I190" s="110"/>
      <c r="J190" s="110"/>
      <c r="K190" s="205">
        <f t="shared" si="15"/>
        <v>0</v>
      </c>
      <c r="L190" s="192">
        <f t="shared" si="16"/>
        <v>0</v>
      </c>
      <c r="M190" s="192">
        <v>438</v>
      </c>
      <c r="N190" s="15">
        <f>+M190*1000/(110*4*18*60)*T190</f>
        <v>4.6085858585858581</v>
      </c>
      <c r="O190" s="192"/>
      <c r="P190" s="192">
        <f t="shared" si="17"/>
        <v>0</v>
      </c>
      <c r="Q190" s="192"/>
      <c r="R190" s="19">
        <f t="shared" si="18"/>
        <v>0</v>
      </c>
      <c r="S190" s="192">
        <f t="shared" si="19"/>
        <v>0</v>
      </c>
      <c r="T190" s="20">
        <v>5</v>
      </c>
      <c r="U190" s="20"/>
      <c r="V190" s="19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95">
        <v>300438</v>
      </c>
      <c r="B191" s="190" t="s">
        <v>87</v>
      </c>
      <c r="C191" s="226" t="s">
        <v>312</v>
      </c>
      <c r="D191" s="226" t="s">
        <v>89</v>
      </c>
      <c r="E191" s="194" t="s">
        <v>35</v>
      </c>
      <c r="F191" s="13"/>
      <c r="G191" s="110"/>
      <c r="H191" s="110"/>
      <c r="I191" s="110"/>
      <c r="J191" s="110"/>
      <c r="K191" s="192">
        <f>G191*M191</f>
        <v>0</v>
      </c>
      <c r="L191" s="192">
        <f>I191*M191</f>
        <v>0</v>
      </c>
      <c r="M191" s="192">
        <v>336.6</v>
      </c>
      <c r="N191" s="192">
        <f>+M191*1000/(45*10*18*60)*T191</f>
        <v>1.3851851851851851</v>
      </c>
      <c r="O191" s="192"/>
      <c r="P191" s="192">
        <f>N191*I191+O191*U191</f>
        <v>0</v>
      </c>
      <c r="Q191" s="192"/>
      <c r="R191" s="19">
        <f>Q191*U191</f>
        <v>0</v>
      </c>
      <c r="S191" s="192">
        <f>R191-P191</f>
        <v>0</v>
      </c>
      <c r="T191" s="20">
        <v>2</v>
      </c>
      <c r="U191" s="20"/>
      <c r="V191" s="19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95">
        <v>300439</v>
      </c>
      <c r="B192" s="190" t="s">
        <v>87</v>
      </c>
      <c r="C192" s="226" t="s">
        <v>312</v>
      </c>
      <c r="D192" s="226" t="s">
        <v>89</v>
      </c>
      <c r="E192" s="194" t="s">
        <v>66</v>
      </c>
      <c r="F192" s="13"/>
      <c r="G192" s="110"/>
      <c r="H192" s="110"/>
      <c r="I192" s="110"/>
      <c r="J192" s="110"/>
      <c r="K192" s="192">
        <f>G192*M192</f>
        <v>0</v>
      </c>
      <c r="L192" s="192">
        <f>I192*M192</f>
        <v>0</v>
      </c>
      <c r="M192" s="192">
        <v>336.6</v>
      </c>
      <c r="N192" s="192">
        <f>+M192*1000/(45*10*18*60)*T192</f>
        <v>1.3851851851851851</v>
      </c>
      <c r="O192" s="192"/>
      <c r="P192" s="192">
        <f>N192*I192+O192*U192</f>
        <v>0</v>
      </c>
      <c r="Q192" s="192"/>
      <c r="R192" s="19">
        <f>Q192*U192</f>
        <v>0</v>
      </c>
      <c r="S192" s="192">
        <f>R192-P192</f>
        <v>0</v>
      </c>
      <c r="T192" s="20">
        <v>2</v>
      </c>
      <c r="U192" s="20"/>
      <c r="V192" s="19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95">
        <v>300440</v>
      </c>
      <c r="B193" s="190" t="s">
        <v>87</v>
      </c>
      <c r="C193" s="226" t="s">
        <v>312</v>
      </c>
      <c r="D193" s="226" t="s">
        <v>89</v>
      </c>
      <c r="E193" s="194" t="s">
        <v>41</v>
      </c>
      <c r="F193" s="13"/>
      <c r="G193" s="110"/>
      <c r="H193" s="110"/>
      <c r="I193" s="110"/>
      <c r="J193" s="110"/>
      <c r="K193" s="192">
        <f>G193*M193</f>
        <v>0</v>
      </c>
      <c r="L193" s="192">
        <f>I193*M193</f>
        <v>0</v>
      </c>
      <c r="M193" s="192">
        <v>336.6</v>
      </c>
      <c r="N193" s="192">
        <f>+M193*1000/(45*10*18*60)*T193</f>
        <v>1.3851851851851851</v>
      </c>
      <c r="O193" s="192"/>
      <c r="P193" s="192">
        <f>N193*I193+O193*U193</f>
        <v>0</v>
      </c>
      <c r="Q193" s="192"/>
      <c r="R193" s="19">
        <f>Q193*U193</f>
        <v>0</v>
      </c>
      <c r="S193" s="192">
        <f>R193-P193</f>
        <v>0</v>
      </c>
      <c r="T193" s="20">
        <v>2</v>
      </c>
      <c r="U193" s="20"/>
      <c r="V193" s="19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95">
        <v>300441</v>
      </c>
      <c r="B194" s="190" t="s">
        <v>87</v>
      </c>
      <c r="C194" s="226" t="s">
        <v>312</v>
      </c>
      <c r="D194" s="226" t="s">
        <v>89</v>
      </c>
      <c r="E194" s="194" t="s">
        <v>37</v>
      </c>
      <c r="F194" s="13"/>
      <c r="G194" s="110"/>
      <c r="H194" s="110"/>
      <c r="I194" s="110"/>
      <c r="J194" s="110"/>
      <c r="K194" s="192">
        <f>G194*M194</f>
        <v>0</v>
      </c>
      <c r="L194" s="192">
        <f>I194*M194</f>
        <v>0</v>
      </c>
      <c r="M194" s="192">
        <v>336.6</v>
      </c>
      <c r="N194" s="192">
        <f>+M194*1000/(45*10*18*60)*T194</f>
        <v>1.3851851851851851</v>
      </c>
      <c r="O194" s="192"/>
      <c r="P194" s="192">
        <f>N194*I194+O194*U194</f>
        <v>0</v>
      </c>
      <c r="Q194" s="192"/>
      <c r="R194" s="19">
        <f>Q194*U194</f>
        <v>0</v>
      </c>
      <c r="S194" s="192">
        <f>R194-P194</f>
        <v>0</v>
      </c>
      <c r="T194" s="20">
        <v>2</v>
      </c>
      <c r="U194" s="20"/>
      <c r="V194" s="19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99">
        <v>300406</v>
      </c>
      <c r="B195" s="190" t="s">
        <v>171</v>
      </c>
      <c r="C195" s="237" t="s">
        <v>172</v>
      </c>
      <c r="D195" s="238"/>
      <c r="E195" s="191" t="s">
        <v>149</v>
      </c>
      <c r="F195" s="27"/>
      <c r="G195" s="67"/>
      <c r="H195" s="67"/>
      <c r="I195" s="110"/>
      <c r="J195" s="110"/>
      <c r="K195" s="205">
        <f t="shared" ref="K195:K198" si="23">G195*M195</f>
        <v>0</v>
      </c>
      <c r="L195" s="192">
        <f t="shared" ref="L195:L198" si="24">I195*M195</f>
        <v>0</v>
      </c>
      <c r="M195" s="192">
        <v>628.29999999999995</v>
      </c>
      <c r="N195" s="15">
        <f>+M195*1000/(132*4*18*60)*T195</f>
        <v>5.5090838945005611</v>
      </c>
      <c r="O195" s="192"/>
      <c r="P195" s="192">
        <f t="shared" ref="P195:P198" si="25">N195*I195+O195*U195</f>
        <v>0</v>
      </c>
      <c r="Q195" s="192"/>
      <c r="R195" s="19">
        <f t="shared" ref="R195:R198" si="26">Q195*U195</f>
        <v>0</v>
      </c>
      <c r="S195" s="192">
        <f t="shared" ref="S195:S198" si="27">R195-P195</f>
        <v>0</v>
      </c>
      <c r="T195" s="20">
        <v>5</v>
      </c>
      <c r="U195" s="20"/>
      <c r="V195" s="19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99">
        <v>300407</v>
      </c>
      <c r="B196" s="190" t="s">
        <v>171</v>
      </c>
      <c r="C196" s="237" t="s">
        <v>172</v>
      </c>
      <c r="D196" s="238"/>
      <c r="E196" s="191" t="s">
        <v>173</v>
      </c>
      <c r="F196" s="27"/>
      <c r="G196" s="67"/>
      <c r="H196" s="67"/>
      <c r="I196" s="110"/>
      <c r="J196" s="110"/>
      <c r="K196" s="205">
        <f t="shared" si="23"/>
        <v>0</v>
      </c>
      <c r="L196" s="192">
        <f t="shared" si="24"/>
        <v>0</v>
      </c>
      <c r="M196" s="192">
        <v>628.29999999999995</v>
      </c>
      <c r="N196" s="15">
        <f>+M196*1000/(132*4*18*60)*T196</f>
        <v>5.5090838945005611</v>
      </c>
      <c r="O196" s="192"/>
      <c r="P196" s="192">
        <f t="shared" si="25"/>
        <v>0</v>
      </c>
      <c r="Q196" s="192"/>
      <c r="R196" s="19">
        <f t="shared" si="26"/>
        <v>0</v>
      </c>
      <c r="S196" s="192">
        <f t="shared" si="27"/>
        <v>0</v>
      </c>
      <c r="T196" s="20">
        <v>5</v>
      </c>
      <c r="U196" s="20"/>
      <c r="V196" s="19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99">
        <v>300408</v>
      </c>
      <c r="B197" s="190" t="s">
        <v>171</v>
      </c>
      <c r="C197" s="237" t="s">
        <v>172</v>
      </c>
      <c r="D197" s="238"/>
      <c r="E197" s="191" t="s">
        <v>41</v>
      </c>
      <c r="F197" s="27"/>
      <c r="G197" s="67"/>
      <c r="H197" s="67"/>
      <c r="I197" s="110"/>
      <c r="J197" s="110"/>
      <c r="K197" s="205">
        <f t="shared" si="23"/>
        <v>0</v>
      </c>
      <c r="L197" s="192">
        <f t="shared" si="24"/>
        <v>0</v>
      </c>
      <c r="M197" s="192">
        <v>628.29999999999995</v>
      </c>
      <c r="N197" s="15">
        <f>+M197*1000/(132*4*18*60)*T197</f>
        <v>5.5090838945005611</v>
      </c>
      <c r="O197" s="192"/>
      <c r="P197" s="192">
        <f t="shared" si="25"/>
        <v>0</v>
      </c>
      <c r="Q197" s="192"/>
      <c r="R197" s="19">
        <f t="shared" si="26"/>
        <v>0</v>
      </c>
      <c r="S197" s="192">
        <f t="shared" si="27"/>
        <v>0</v>
      </c>
      <c r="T197" s="20">
        <v>5</v>
      </c>
      <c r="U197" s="20"/>
      <c r="V197" s="19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99">
        <v>300409</v>
      </c>
      <c r="B198" s="190" t="s">
        <v>171</v>
      </c>
      <c r="C198" s="237" t="s">
        <v>172</v>
      </c>
      <c r="D198" s="238"/>
      <c r="E198" s="191" t="s">
        <v>174</v>
      </c>
      <c r="F198" s="27"/>
      <c r="G198" s="67"/>
      <c r="H198" s="67"/>
      <c r="I198" s="110"/>
      <c r="J198" s="110"/>
      <c r="K198" s="205">
        <f t="shared" si="23"/>
        <v>0</v>
      </c>
      <c r="L198" s="192">
        <f t="shared" si="24"/>
        <v>0</v>
      </c>
      <c r="M198" s="192">
        <v>628.29999999999995</v>
      </c>
      <c r="N198" s="15">
        <f>+M198*1000/(132*4*18*60)*T198</f>
        <v>5.5090838945005611</v>
      </c>
      <c r="O198" s="192"/>
      <c r="P198" s="192">
        <f t="shared" si="25"/>
        <v>0</v>
      </c>
      <c r="Q198" s="192"/>
      <c r="R198" s="19">
        <f t="shared" si="26"/>
        <v>0</v>
      </c>
      <c r="S198" s="192">
        <f t="shared" si="27"/>
        <v>0</v>
      </c>
      <c r="T198" s="20">
        <v>5</v>
      </c>
      <c r="U198" s="20"/>
      <c r="V198" s="19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92">
        <f t="array" ref="G199">SUM(IF(ISERROR(G6:G198),“”,G6:G198))</f>
        <v>0</v>
      </c>
      <c r="H199" s="192">
        <f t="array" ref="H199">SUM(IF(ISERROR(H6:H198),“”,H6:H198))</f>
        <v>0</v>
      </c>
      <c r="I199" s="192">
        <f t="array" ref="I199">SUM(IF(ISERROR(I6:I198),“”,I6:I198))</f>
        <v>0</v>
      </c>
      <c r="J199" s="192">
        <f t="array" ref="J199">SUM(IF(ISERROR(J6:J198),“”,J6:J198))</f>
        <v>0</v>
      </c>
      <c r="K199" s="192">
        <f t="array" ref="K199">SUM(IF(ISERROR(K6:K198),“”,K6:K198))</f>
        <v>0</v>
      </c>
      <c r="L199" s="56">
        <f>SUM(L6:L198)</f>
        <v>0</v>
      </c>
      <c r="M199" s="192"/>
      <c r="N199" s="192"/>
      <c r="O199" s="192">
        <f>SUM(O6:O190)</f>
        <v>0</v>
      </c>
      <c r="P199" s="56">
        <f>SUM((P6:P190),(W204:X209))</f>
        <v>0</v>
      </c>
      <c r="Q199" s="192"/>
      <c r="R199" s="56">
        <f>SUM((R6:R190),(Y204:Z209))</f>
        <v>0</v>
      </c>
      <c r="S199" s="192">
        <f t="array" ref="S199">SUM(IF(ISERROR(S6:S198),“”,S6:S198))</f>
        <v>0</v>
      </c>
      <c r="T199" s="192"/>
      <c r="U199" s="192"/>
      <c r="V199" s="198" t="str">
        <f>IF(ISERROR(L199/K199),"",L199/K199)</f>
        <v/>
      </c>
      <c r="W199" s="192">
        <f t="array" ref="W199">SUM(IF(ISERROR(W6:W198),“”,W6:W198))</f>
        <v>0</v>
      </c>
      <c r="X199" s="192">
        <f t="array" ref="X199">SUM(IF(ISERROR(X6:X198),“”,X6:X198))</f>
        <v>0</v>
      </c>
      <c r="Y199" s="192">
        <f t="array" ref="Y199">SUM(IF(ISERROR(Y6:Y198),“”,Y6:Y198))</f>
        <v>0</v>
      </c>
      <c r="Z199" s="192">
        <f t="array" ref="Z199">SUM(IF(ISERROR(Z6:Z198),“”,Z6:Z198))</f>
        <v>0</v>
      </c>
      <c r="AA199" s="192">
        <f t="array" ref="AA199">SUM(IF(ISERROR(AA6:AA198),“”,AA6:AA198))</f>
        <v>0</v>
      </c>
      <c r="AB199" s="192">
        <f t="array" ref="AB199">SUM(IF(ISERROR(AB6:AB198),“”,AB6:AB198))</f>
        <v>0</v>
      </c>
      <c r="AC199" s="19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97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97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97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90" t="s">
        <v>25</v>
      </c>
      <c r="S214" s="227"/>
      <c r="T214" s="229"/>
      <c r="U214" s="229"/>
      <c r="V214" s="231"/>
      <c r="W214" s="190" t="s">
        <v>26</v>
      </c>
      <c r="X214" s="18" t="s">
        <v>27</v>
      </c>
      <c r="Y214" s="18" t="s">
        <v>28</v>
      </c>
      <c r="Z214" s="190" t="s">
        <v>29</v>
      </c>
      <c r="AA214" s="18" t="s">
        <v>30</v>
      </c>
      <c r="AB214" s="18" t="s">
        <v>31</v>
      </c>
      <c r="AC214" s="190" t="s">
        <v>32</v>
      </c>
    </row>
    <row r="215" spans="1:29" ht="21.95" customHeight="1">
      <c r="A215" s="195">
        <v>300320</v>
      </c>
      <c r="B215" s="190" t="s">
        <v>33</v>
      </c>
      <c r="C215" s="239" t="s">
        <v>34</v>
      </c>
      <c r="D215" s="239"/>
      <c r="E215" s="194" t="s">
        <v>35</v>
      </c>
      <c r="F215" s="13"/>
      <c r="G215" s="192"/>
      <c r="H215" s="192"/>
      <c r="I215" s="192"/>
      <c r="J215" s="192"/>
      <c r="K215" s="192">
        <f t="shared" ref="K215:K285" si="31">G215*M215</f>
        <v>0</v>
      </c>
      <c r="L215" s="192">
        <f t="shared" ref="L215:L285" si="32">I215*M215</f>
        <v>0</v>
      </c>
      <c r="M215" s="192">
        <v>633.6</v>
      </c>
      <c r="N215" s="192">
        <f t="shared" ref="N215:N222" si="33">+M215*1000/(28.3*10*40*60)*T215</f>
        <v>4.6643109540636036</v>
      </c>
      <c r="O215" s="192"/>
      <c r="P215" s="192">
        <f t="shared" ref="P215:P285" si="34">N215*I215+O215*U215</f>
        <v>0</v>
      </c>
      <c r="Q215" s="192"/>
      <c r="R215" s="19">
        <f t="shared" ref="R215:R285" si="35">Q215*U215</f>
        <v>0</v>
      </c>
      <c r="S215" s="192">
        <f t="shared" ref="S215:S285" si="36">R215-P215</f>
        <v>0</v>
      </c>
      <c r="T215" s="20">
        <v>5</v>
      </c>
      <c r="U215" s="20"/>
      <c r="V215" s="198" t="str">
        <f t="array" ref="V215">IF(ISERROR(L215/K215),"",L215/K215)</f>
        <v/>
      </c>
      <c r="W215" s="20"/>
      <c r="X215" s="190"/>
      <c r="Y215" s="190"/>
      <c r="Z215" s="196"/>
      <c r="AA215" s="20"/>
      <c r="AB215" s="20"/>
      <c r="AC215" s="20"/>
    </row>
    <row r="216" spans="1:29" s="2" customFormat="1" ht="21.95" customHeight="1">
      <c r="A216" s="195">
        <v>300318</v>
      </c>
      <c r="B216" s="204" t="s">
        <v>33</v>
      </c>
      <c r="C216" s="292" t="s">
        <v>34</v>
      </c>
      <c r="D216" s="292"/>
      <c r="E216" s="48" t="s">
        <v>36</v>
      </c>
      <c r="F216" s="196"/>
      <c r="G216" s="192"/>
      <c r="H216" s="192"/>
      <c r="I216" s="192"/>
      <c r="J216" s="192"/>
      <c r="K216" s="192">
        <f t="shared" si="31"/>
        <v>0</v>
      </c>
      <c r="L216" s="192">
        <f t="shared" si="32"/>
        <v>0</v>
      </c>
      <c r="M216" s="192">
        <v>633.6</v>
      </c>
      <c r="N216" s="192">
        <f t="shared" si="33"/>
        <v>3.7314487632508833</v>
      </c>
      <c r="O216" s="192"/>
      <c r="P216" s="192">
        <f t="shared" si="34"/>
        <v>0</v>
      </c>
      <c r="Q216" s="192"/>
      <c r="R216" s="19">
        <f t="shared" si="35"/>
        <v>0</v>
      </c>
      <c r="S216" s="192">
        <f t="shared" si="36"/>
        <v>0</v>
      </c>
      <c r="T216" s="20">
        <v>4</v>
      </c>
      <c r="U216" s="20"/>
      <c r="V216" s="198" t="str">
        <f t="array" ref="V216">IF(ISERROR(L216/K216),"",L216/K216)</f>
        <v/>
      </c>
      <c r="W216" s="20"/>
      <c r="X216" s="190"/>
      <c r="Y216" s="190"/>
      <c r="Z216" s="196"/>
      <c r="AA216" s="20"/>
      <c r="AB216" s="20"/>
      <c r="AC216" s="20"/>
    </row>
    <row r="217" spans="1:29" s="2" customFormat="1" ht="21.95" customHeight="1">
      <c r="A217" s="195">
        <v>300319</v>
      </c>
      <c r="B217" s="204" t="s">
        <v>33</v>
      </c>
      <c r="C217" s="292" t="s">
        <v>34</v>
      </c>
      <c r="D217" s="292"/>
      <c r="E217" s="48" t="s">
        <v>37</v>
      </c>
      <c r="F217" s="196"/>
      <c r="G217" s="192"/>
      <c r="H217" s="192"/>
      <c r="I217" s="192"/>
      <c r="J217" s="192"/>
      <c r="K217" s="192">
        <f t="shared" si="31"/>
        <v>0</v>
      </c>
      <c r="L217" s="192">
        <f t="shared" si="32"/>
        <v>0</v>
      </c>
      <c r="M217" s="192">
        <v>633.6</v>
      </c>
      <c r="N217" s="192">
        <f t="shared" si="33"/>
        <v>3.7314487632508833</v>
      </c>
      <c r="O217" s="192"/>
      <c r="P217" s="192">
        <f t="shared" si="34"/>
        <v>0</v>
      </c>
      <c r="Q217" s="192"/>
      <c r="R217" s="19">
        <f t="shared" si="35"/>
        <v>0</v>
      </c>
      <c r="S217" s="192">
        <f t="shared" si="36"/>
        <v>0</v>
      </c>
      <c r="T217" s="20">
        <v>4</v>
      </c>
      <c r="U217" s="20"/>
      <c r="V217" s="198" t="str">
        <f t="array" ref="V217">IF(ISERROR(L217/K217),"",L217/K217)</f>
        <v/>
      </c>
      <c r="W217" s="20"/>
      <c r="X217" s="190"/>
      <c r="Y217" s="190"/>
      <c r="Z217" s="196"/>
      <c r="AA217" s="20"/>
      <c r="AB217" s="20"/>
      <c r="AC217" s="20"/>
    </row>
    <row r="218" spans="1:29" s="2" customFormat="1" ht="21.95" customHeight="1">
      <c r="A218" s="195">
        <v>300316</v>
      </c>
      <c r="B218" s="204" t="s">
        <v>33</v>
      </c>
      <c r="C218" s="292" t="s">
        <v>34</v>
      </c>
      <c r="D218" s="292"/>
      <c r="E218" s="48" t="s">
        <v>38</v>
      </c>
      <c r="F218" s="196"/>
      <c r="G218" s="192"/>
      <c r="H218" s="192"/>
      <c r="I218" s="192"/>
      <c r="J218" s="192"/>
      <c r="K218" s="192">
        <f t="shared" si="31"/>
        <v>0</v>
      </c>
      <c r="L218" s="192">
        <f t="shared" si="32"/>
        <v>0</v>
      </c>
      <c r="M218" s="192">
        <v>616</v>
      </c>
      <c r="N218" s="192">
        <f t="shared" si="33"/>
        <v>3.6277974087161367</v>
      </c>
      <c r="O218" s="192"/>
      <c r="P218" s="192">
        <f t="shared" si="34"/>
        <v>0</v>
      </c>
      <c r="Q218" s="192"/>
      <c r="R218" s="19">
        <f t="shared" si="35"/>
        <v>0</v>
      </c>
      <c r="S218" s="192">
        <f t="shared" si="36"/>
        <v>0</v>
      </c>
      <c r="T218" s="20">
        <v>4</v>
      </c>
      <c r="U218" s="20"/>
      <c r="V218" s="198" t="str">
        <f t="array" ref="V218">IF(ISERROR(L218/K218),"",L218/K218)</f>
        <v/>
      </c>
      <c r="W218" s="20"/>
      <c r="X218" s="190"/>
      <c r="Y218" s="190"/>
      <c r="Z218" s="196"/>
      <c r="AA218" s="20"/>
      <c r="AB218" s="20"/>
      <c r="AC218" s="20"/>
    </row>
    <row r="219" spans="1:29" s="2" customFormat="1" ht="21.95" customHeight="1">
      <c r="A219" s="195">
        <v>300317</v>
      </c>
      <c r="B219" s="204" t="s">
        <v>33</v>
      </c>
      <c r="C219" s="292" t="s">
        <v>34</v>
      </c>
      <c r="D219" s="292"/>
      <c r="E219" s="48" t="s">
        <v>39</v>
      </c>
      <c r="F219" s="196"/>
      <c r="G219" s="192"/>
      <c r="H219" s="192"/>
      <c r="I219" s="192"/>
      <c r="J219" s="192"/>
      <c r="K219" s="192">
        <f t="shared" si="31"/>
        <v>0</v>
      </c>
      <c r="L219" s="192">
        <f t="shared" si="32"/>
        <v>0</v>
      </c>
      <c r="M219" s="192">
        <v>616</v>
      </c>
      <c r="N219" s="192">
        <f t="shared" si="33"/>
        <v>3.6277974087161367</v>
      </c>
      <c r="O219" s="192"/>
      <c r="P219" s="192">
        <f t="shared" si="34"/>
        <v>0</v>
      </c>
      <c r="Q219" s="192"/>
      <c r="R219" s="19">
        <f t="shared" si="35"/>
        <v>0</v>
      </c>
      <c r="S219" s="192">
        <f t="shared" si="36"/>
        <v>0</v>
      </c>
      <c r="T219" s="20">
        <v>4</v>
      </c>
      <c r="U219" s="20"/>
      <c r="V219" s="198" t="str">
        <f t="array" ref="V219">IF(ISERROR(L219/K219),"",L219/K219)</f>
        <v/>
      </c>
      <c r="W219" s="20"/>
      <c r="X219" s="190"/>
      <c r="Y219" s="190"/>
      <c r="Z219" s="196"/>
      <c r="AA219" s="20"/>
      <c r="AB219" s="20"/>
      <c r="AC219" s="20"/>
    </row>
    <row r="220" spans="1:29" s="2" customFormat="1" ht="21.95" customHeight="1">
      <c r="A220" s="195">
        <v>300315</v>
      </c>
      <c r="B220" s="204" t="s">
        <v>33</v>
      </c>
      <c r="C220" s="292" t="s">
        <v>34</v>
      </c>
      <c r="D220" s="292"/>
      <c r="E220" s="48" t="s">
        <v>40</v>
      </c>
      <c r="F220" s="196"/>
      <c r="G220" s="192"/>
      <c r="H220" s="192"/>
      <c r="I220" s="192"/>
      <c r="J220" s="192"/>
      <c r="K220" s="192">
        <f t="shared" si="31"/>
        <v>0</v>
      </c>
      <c r="L220" s="192">
        <f t="shared" si="32"/>
        <v>0</v>
      </c>
      <c r="M220" s="192">
        <v>616</v>
      </c>
      <c r="N220" s="192">
        <f t="shared" si="33"/>
        <v>3.6277974087161367</v>
      </c>
      <c r="O220" s="192"/>
      <c r="P220" s="192">
        <f t="shared" si="34"/>
        <v>0</v>
      </c>
      <c r="Q220" s="192"/>
      <c r="R220" s="19">
        <f t="shared" si="35"/>
        <v>0</v>
      </c>
      <c r="S220" s="192">
        <f t="shared" si="36"/>
        <v>0</v>
      </c>
      <c r="T220" s="20">
        <v>4</v>
      </c>
      <c r="U220" s="20"/>
      <c r="V220" s="198" t="str">
        <f t="array" ref="V220">IF(ISERROR(L220/K220),"",L220/K220)</f>
        <v/>
      </c>
      <c r="W220" s="20"/>
      <c r="X220" s="190"/>
      <c r="Y220" s="190"/>
      <c r="Z220" s="196"/>
      <c r="AA220" s="20"/>
      <c r="AB220" s="20"/>
      <c r="AC220" s="20"/>
    </row>
    <row r="221" spans="1:29" s="2" customFormat="1" ht="21.95" customHeight="1">
      <c r="A221" s="195">
        <v>300314</v>
      </c>
      <c r="B221" s="204" t="s">
        <v>33</v>
      </c>
      <c r="C221" s="292" t="s">
        <v>34</v>
      </c>
      <c r="D221" s="292"/>
      <c r="E221" s="48" t="s">
        <v>41</v>
      </c>
      <c r="F221" s="196"/>
      <c r="G221" s="192"/>
      <c r="H221" s="192"/>
      <c r="I221" s="192"/>
      <c r="J221" s="192"/>
      <c r="K221" s="192">
        <f t="shared" si="31"/>
        <v>0</v>
      </c>
      <c r="L221" s="192">
        <f t="shared" si="32"/>
        <v>0</v>
      </c>
      <c r="M221" s="192">
        <v>616</v>
      </c>
      <c r="N221" s="192">
        <f t="shared" si="33"/>
        <v>3.6277974087161367</v>
      </c>
      <c r="O221" s="192"/>
      <c r="P221" s="192">
        <f t="shared" si="34"/>
        <v>0</v>
      </c>
      <c r="Q221" s="192"/>
      <c r="R221" s="19">
        <f t="shared" si="35"/>
        <v>0</v>
      </c>
      <c r="S221" s="192">
        <f t="shared" si="36"/>
        <v>0</v>
      </c>
      <c r="T221" s="20">
        <v>4</v>
      </c>
      <c r="U221" s="20"/>
      <c r="V221" s="198" t="str">
        <f t="array" ref="V221">IF(ISERROR(L221/K221),"",L221/K221)</f>
        <v/>
      </c>
      <c r="W221" s="20"/>
      <c r="X221" s="190"/>
      <c r="Y221" s="190"/>
      <c r="Z221" s="196"/>
      <c r="AA221" s="20"/>
      <c r="AB221" s="20"/>
      <c r="AC221" s="20"/>
    </row>
    <row r="222" spans="1:29" s="2" customFormat="1" ht="21.95" customHeight="1">
      <c r="A222" s="195">
        <v>300313</v>
      </c>
      <c r="B222" s="204" t="s">
        <v>33</v>
      </c>
      <c r="C222" s="292" t="s">
        <v>34</v>
      </c>
      <c r="D222" s="292"/>
      <c r="E222" s="48" t="s">
        <v>42</v>
      </c>
      <c r="F222" s="196"/>
      <c r="G222" s="192"/>
      <c r="H222" s="192"/>
      <c r="I222" s="192"/>
      <c r="J222" s="192"/>
      <c r="K222" s="192">
        <f t="shared" si="31"/>
        <v>0</v>
      </c>
      <c r="L222" s="192">
        <f t="shared" si="32"/>
        <v>0</v>
      </c>
      <c r="M222" s="192">
        <v>616</v>
      </c>
      <c r="N222" s="192">
        <f t="shared" si="33"/>
        <v>3.6277974087161367</v>
      </c>
      <c r="O222" s="192"/>
      <c r="P222" s="192">
        <f t="shared" si="34"/>
        <v>0</v>
      </c>
      <c r="Q222" s="192"/>
      <c r="R222" s="19">
        <f t="shared" si="35"/>
        <v>0</v>
      </c>
      <c r="S222" s="192">
        <f t="shared" si="36"/>
        <v>0</v>
      </c>
      <c r="T222" s="20">
        <v>4</v>
      </c>
      <c r="U222" s="20"/>
      <c r="V222" s="198" t="str">
        <f t="array" ref="V222">IF(ISERROR(L222/K222),"",L222/K222)</f>
        <v/>
      </c>
      <c r="W222" s="20"/>
      <c r="X222" s="190"/>
      <c r="Y222" s="190"/>
      <c r="Z222" s="196"/>
      <c r="AA222" s="20"/>
      <c r="AB222" s="20"/>
      <c r="AC222" s="20"/>
    </row>
    <row r="223" spans="1:29" ht="21.95" customHeight="1">
      <c r="A223" s="195"/>
      <c r="B223" s="190" t="s">
        <v>43</v>
      </c>
      <c r="C223" s="237" t="s">
        <v>313</v>
      </c>
      <c r="D223" s="238"/>
      <c r="E223" s="194" t="s">
        <v>314</v>
      </c>
      <c r="F223" s="13"/>
      <c r="G223" s="110"/>
      <c r="H223" s="110"/>
      <c r="I223" s="110"/>
      <c r="J223" s="110"/>
      <c r="K223" s="192">
        <f t="shared" si="31"/>
        <v>0</v>
      </c>
      <c r="L223" s="192">
        <f t="shared" si="32"/>
        <v>0</v>
      </c>
      <c r="M223" s="192">
        <v>213.4</v>
      </c>
      <c r="N223" s="192">
        <f>+M223*1000/(15.4*10*17*60)*T223</f>
        <v>4.0756302521008401</v>
      </c>
      <c r="O223" s="192"/>
      <c r="P223" s="192">
        <f t="shared" si="34"/>
        <v>0</v>
      </c>
      <c r="Q223" s="192"/>
      <c r="R223" s="19">
        <f t="shared" si="35"/>
        <v>0</v>
      </c>
      <c r="S223" s="192">
        <f t="shared" si="36"/>
        <v>0</v>
      </c>
      <c r="T223" s="20">
        <v>3</v>
      </c>
      <c r="U223" s="20"/>
      <c r="V223" s="198"/>
      <c r="W223" s="20"/>
      <c r="X223" s="190"/>
      <c r="Y223" s="190"/>
      <c r="Z223" s="196"/>
      <c r="AA223" s="20"/>
      <c r="AB223" s="20"/>
      <c r="AC223" s="20"/>
    </row>
    <row r="224" spans="1:29" ht="21.95" customHeight="1">
      <c r="A224" s="195"/>
      <c r="B224" s="190" t="s">
        <v>43</v>
      </c>
      <c r="C224" s="237" t="s">
        <v>313</v>
      </c>
      <c r="D224" s="238"/>
      <c r="E224" s="194" t="s">
        <v>315</v>
      </c>
      <c r="F224" s="13"/>
      <c r="G224" s="110"/>
      <c r="H224" s="110"/>
      <c r="I224" s="110"/>
      <c r="J224" s="110"/>
      <c r="K224" s="192">
        <f t="shared" si="31"/>
        <v>0</v>
      </c>
      <c r="L224" s="192">
        <f t="shared" si="32"/>
        <v>0</v>
      </c>
      <c r="M224" s="192">
        <v>213.4</v>
      </c>
      <c r="N224" s="192">
        <f>+M224*1000/(15.4*10*17*60)*T224</f>
        <v>4.0756302521008401</v>
      </c>
      <c r="O224" s="192"/>
      <c r="P224" s="192">
        <f t="shared" si="34"/>
        <v>0</v>
      </c>
      <c r="Q224" s="192"/>
      <c r="R224" s="19">
        <f t="shared" si="35"/>
        <v>0</v>
      </c>
      <c r="S224" s="192">
        <f t="shared" si="36"/>
        <v>0</v>
      </c>
      <c r="T224" s="20">
        <v>3</v>
      </c>
      <c r="U224" s="20"/>
      <c r="V224" s="198"/>
      <c r="W224" s="20"/>
      <c r="X224" s="190"/>
      <c r="Y224" s="190"/>
      <c r="Z224" s="196"/>
      <c r="AA224" s="20"/>
      <c r="AB224" s="20"/>
      <c r="AC224" s="20"/>
    </row>
    <row r="225" spans="1:29" s="2" customFormat="1" ht="21.95" customHeight="1">
      <c r="A225" s="190">
        <v>300202</v>
      </c>
      <c r="B225" s="190" t="s">
        <v>52</v>
      </c>
      <c r="C225" s="237" t="s">
        <v>44</v>
      </c>
      <c r="D225" s="238"/>
      <c r="E225" s="190" t="s">
        <v>35</v>
      </c>
      <c r="F225" s="196"/>
      <c r="G225" s="192"/>
      <c r="H225" s="192"/>
      <c r="I225" s="192"/>
      <c r="J225" s="192"/>
      <c r="K225" s="192">
        <f t="shared" si="31"/>
        <v>0</v>
      </c>
      <c r="L225" s="192">
        <f t="shared" si="32"/>
        <v>0</v>
      </c>
      <c r="M225" s="192">
        <v>212.4</v>
      </c>
      <c r="N225" s="192">
        <f>+M225*1000/(15.4*10*17*60)*T225</f>
        <v>8.1130634071810537</v>
      </c>
      <c r="O225" s="192"/>
      <c r="P225" s="192">
        <f t="shared" si="34"/>
        <v>0</v>
      </c>
      <c r="Q225" s="192"/>
      <c r="R225" s="19">
        <f t="shared" si="35"/>
        <v>0</v>
      </c>
      <c r="S225" s="192">
        <f t="shared" si="36"/>
        <v>0</v>
      </c>
      <c r="T225" s="20">
        <v>6</v>
      </c>
      <c r="U225" s="20"/>
      <c r="V225" s="19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90">
        <v>300203</v>
      </c>
      <c r="B226" s="190" t="s">
        <v>43</v>
      </c>
      <c r="C226" s="237" t="s">
        <v>44</v>
      </c>
      <c r="D226" s="238"/>
      <c r="E226" s="190" t="s">
        <v>41</v>
      </c>
      <c r="F226" s="196"/>
      <c r="G226" s="192"/>
      <c r="H226" s="192"/>
      <c r="I226" s="192"/>
      <c r="J226" s="192"/>
      <c r="K226" s="192">
        <f t="shared" si="31"/>
        <v>0</v>
      </c>
      <c r="L226" s="192">
        <f t="shared" si="32"/>
        <v>0</v>
      </c>
      <c r="M226" s="192">
        <v>212.4</v>
      </c>
      <c r="N226" s="192">
        <f>+M226*1000/(15.4*10*17*60)*T226</f>
        <v>4.0565317035905268</v>
      </c>
      <c r="O226" s="192"/>
      <c r="P226" s="192">
        <f t="shared" si="34"/>
        <v>0</v>
      </c>
      <c r="Q226" s="192"/>
      <c r="R226" s="19">
        <f t="shared" si="35"/>
        <v>0</v>
      </c>
      <c r="S226" s="192">
        <f t="shared" si="36"/>
        <v>0</v>
      </c>
      <c r="T226" s="20">
        <v>3</v>
      </c>
      <c r="U226" s="20"/>
      <c r="V226" s="19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90">
        <v>300204</v>
      </c>
      <c r="B227" s="190" t="s">
        <v>43</v>
      </c>
      <c r="C227" s="237" t="s">
        <v>44</v>
      </c>
      <c r="D227" s="238"/>
      <c r="E227" s="190" t="s">
        <v>37</v>
      </c>
      <c r="F227" s="196"/>
      <c r="G227" s="192"/>
      <c r="H227" s="192"/>
      <c r="I227" s="192"/>
      <c r="J227" s="192"/>
      <c r="K227" s="192">
        <f t="shared" si="31"/>
        <v>0</v>
      </c>
      <c r="L227" s="192">
        <f t="shared" si="32"/>
        <v>0</v>
      </c>
      <c r="M227" s="192">
        <v>212.4</v>
      </c>
      <c r="N227" s="192">
        <f>+M227*1000/(15.4*10*17*60)*T227</f>
        <v>4.0565317035905268</v>
      </c>
      <c r="O227" s="192"/>
      <c r="P227" s="192">
        <f t="shared" si="34"/>
        <v>0</v>
      </c>
      <c r="Q227" s="192"/>
      <c r="R227" s="19">
        <f t="shared" si="35"/>
        <v>0</v>
      </c>
      <c r="S227" s="192">
        <f t="shared" si="36"/>
        <v>0</v>
      </c>
      <c r="T227" s="20">
        <v>3</v>
      </c>
      <c r="U227" s="20"/>
      <c r="V227" s="19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95">
        <v>300269</v>
      </c>
      <c r="B228" s="190" t="s">
        <v>43</v>
      </c>
      <c r="C228" s="226" t="s">
        <v>45</v>
      </c>
      <c r="D228" s="226"/>
      <c r="E228" s="194"/>
      <c r="F228" s="196"/>
      <c r="G228" s="192"/>
      <c r="H228" s="192"/>
      <c r="I228" s="192"/>
      <c r="J228" s="192"/>
      <c r="K228" s="192">
        <f t="shared" si="31"/>
        <v>0</v>
      </c>
      <c r="L228" s="192">
        <f t="shared" si="32"/>
        <v>0</v>
      </c>
      <c r="M228" s="192">
        <v>209.4</v>
      </c>
      <c r="N228" s="192">
        <f>+M228*1000/(19.4*10*16*60)*T228</f>
        <v>3.3730670103092786</v>
      </c>
      <c r="O228" s="192"/>
      <c r="P228" s="192">
        <f t="shared" si="34"/>
        <v>0</v>
      </c>
      <c r="Q228" s="192"/>
      <c r="R228" s="19">
        <f t="shared" si="35"/>
        <v>0</v>
      </c>
      <c r="S228" s="192">
        <f t="shared" si="36"/>
        <v>0</v>
      </c>
      <c r="T228" s="20">
        <v>3</v>
      </c>
      <c r="U228" s="20"/>
      <c r="V228" s="19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95"/>
      <c r="B229" s="190"/>
      <c r="C229" s="226" t="s">
        <v>46</v>
      </c>
      <c r="D229" s="226"/>
      <c r="E229" s="194" t="s">
        <v>47</v>
      </c>
      <c r="F229" s="196"/>
      <c r="G229" s="192"/>
      <c r="H229" s="192"/>
      <c r="I229" s="192"/>
      <c r="J229" s="192"/>
      <c r="K229" s="192">
        <f t="shared" si="31"/>
        <v>0</v>
      </c>
      <c r="L229" s="192">
        <f t="shared" si="32"/>
        <v>0</v>
      </c>
      <c r="M229" s="192">
        <v>209.9</v>
      </c>
      <c r="N229" s="192">
        <f>+M229*1000/(19*10*16*60)*T229</f>
        <v>3.4523026315789478</v>
      </c>
      <c r="O229" s="192"/>
      <c r="P229" s="192">
        <f t="shared" si="34"/>
        <v>0</v>
      </c>
      <c r="Q229" s="192"/>
      <c r="R229" s="19">
        <f t="shared" si="35"/>
        <v>0</v>
      </c>
      <c r="S229" s="192">
        <f t="shared" si="36"/>
        <v>0</v>
      </c>
      <c r="T229" s="20">
        <v>3</v>
      </c>
      <c r="U229" s="20"/>
      <c r="V229" s="19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95">
        <v>300350</v>
      </c>
      <c r="B230" s="190" t="s">
        <v>43</v>
      </c>
      <c r="C230" s="226" t="s">
        <v>48</v>
      </c>
      <c r="D230" s="226"/>
      <c r="E230" s="194" t="s">
        <v>49</v>
      </c>
      <c r="F230" s="196"/>
      <c r="G230" s="192"/>
      <c r="H230" s="192"/>
      <c r="I230" s="192"/>
      <c r="J230" s="192"/>
      <c r="K230" s="192">
        <f t="shared" si="31"/>
        <v>0</v>
      </c>
      <c r="L230" s="192">
        <f t="shared" si="32"/>
        <v>0</v>
      </c>
      <c r="M230" s="192">
        <v>209.9</v>
      </c>
      <c r="N230" s="192">
        <f>+M230*1000/(19*10*16*60)*T230</f>
        <v>2.3015350877192984</v>
      </c>
      <c r="O230" s="192"/>
      <c r="P230" s="192">
        <f t="shared" si="34"/>
        <v>0</v>
      </c>
      <c r="Q230" s="192"/>
      <c r="R230" s="19">
        <f t="shared" si="35"/>
        <v>0</v>
      </c>
      <c r="S230" s="192">
        <f t="shared" si="36"/>
        <v>0</v>
      </c>
      <c r="T230" s="20">
        <v>2</v>
      </c>
      <c r="U230" s="20"/>
      <c r="V230" s="19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95">
        <v>300113</v>
      </c>
      <c r="B231" s="190" t="s">
        <v>43</v>
      </c>
      <c r="C231" s="226" t="s">
        <v>50</v>
      </c>
      <c r="D231" s="226"/>
      <c r="E231" s="194" t="s">
        <v>40</v>
      </c>
      <c r="F231" s="196"/>
      <c r="G231" s="192"/>
      <c r="H231" s="192"/>
      <c r="I231" s="192"/>
      <c r="J231" s="192"/>
      <c r="K231" s="192">
        <f t="shared" si="31"/>
        <v>0</v>
      </c>
      <c r="L231" s="192">
        <f t="shared" si="32"/>
        <v>0</v>
      </c>
      <c r="M231" s="192">
        <v>210</v>
      </c>
      <c r="N231" s="192">
        <f>M231*1000/(19.2*10*17*60)*T231</f>
        <v>2.1446078431372548</v>
      </c>
      <c r="O231" s="192"/>
      <c r="P231" s="192">
        <f t="shared" si="34"/>
        <v>0</v>
      </c>
      <c r="Q231" s="192"/>
      <c r="R231" s="19">
        <f t="shared" si="35"/>
        <v>0</v>
      </c>
      <c r="S231" s="192">
        <f t="shared" si="36"/>
        <v>0</v>
      </c>
      <c r="T231" s="20">
        <v>2</v>
      </c>
      <c r="U231" s="20"/>
      <c r="V231" s="19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95">
        <v>300114</v>
      </c>
      <c r="B232" s="190" t="s">
        <v>43</v>
      </c>
      <c r="C232" s="226" t="s">
        <v>50</v>
      </c>
      <c r="D232" s="226"/>
      <c r="E232" s="194" t="s">
        <v>42</v>
      </c>
      <c r="F232" s="196"/>
      <c r="G232" s="192"/>
      <c r="H232" s="192"/>
      <c r="I232" s="192"/>
      <c r="J232" s="192"/>
      <c r="K232" s="192">
        <f t="shared" si="31"/>
        <v>0</v>
      </c>
      <c r="L232" s="192">
        <f t="shared" si="32"/>
        <v>0</v>
      </c>
      <c r="M232" s="192">
        <v>210</v>
      </c>
      <c r="N232" s="192">
        <f>M232*1000/(19.2*10*17*60)*T232</f>
        <v>2.1446078431372548</v>
      </c>
      <c r="O232" s="192"/>
      <c r="P232" s="192">
        <f t="shared" si="34"/>
        <v>0</v>
      </c>
      <c r="Q232" s="192"/>
      <c r="R232" s="19">
        <f t="shared" si="35"/>
        <v>0</v>
      </c>
      <c r="S232" s="192">
        <f t="shared" si="36"/>
        <v>0</v>
      </c>
      <c r="T232" s="20">
        <v>2</v>
      </c>
      <c r="U232" s="20"/>
      <c r="V232" s="19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95">
        <v>300115</v>
      </c>
      <c r="B233" s="190" t="s">
        <v>43</v>
      </c>
      <c r="C233" s="226" t="s">
        <v>50</v>
      </c>
      <c r="D233" s="226"/>
      <c r="E233" s="194" t="s">
        <v>41</v>
      </c>
      <c r="F233" s="196"/>
      <c r="G233" s="192"/>
      <c r="H233" s="192"/>
      <c r="I233" s="192"/>
      <c r="J233" s="192"/>
      <c r="K233" s="192">
        <f t="shared" si="31"/>
        <v>0</v>
      </c>
      <c r="L233" s="192">
        <f t="shared" si="32"/>
        <v>0</v>
      </c>
      <c r="M233" s="192">
        <v>210</v>
      </c>
      <c r="N233" s="192">
        <f>M233*1000/(19.2*10*17*60)*T233</f>
        <v>2.1446078431372548</v>
      </c>
      <c r="O233" s="192"/>
      <c r="P233" s="192">
        <f t="shared" si="34"/>
        <v>0</v>
      </c>
      <c r="Q233" s="192"/>
      <c r="R233" s="19">
        <f t="shared" si="35"/>
        <v>0</v>
      </c>
      <c r="S233" s="192">
        <f t="shared" si="36"/>
        <v>0</v>
      </c>
      <c r="T233" s="20">
        <v>2</v>
      </c>
      <c r="U233" s="20"/>
      <c r="V233" s="19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95">
        <v>300011</v>
      </c>
      <c r="B234" s="190" t="s">
        <v>43</v>
      </c>
      <c r="C234" s="226" t="s">
        <v>51</v>
      </c>
      <c r="D234" s="226"/>
      <c r="E234" s="194" t="s">
        <v>40</v>
      </c>
      <c r="F234" s="196"/>
      <c r="G234" s="192"/>
      <c r="H234" s="192"/>
      <c r="I234" s="192"/>
      <c r="J234" s="192"/>
      <c r="K234" s="192">
        <f t="shared" si="31"/>
        <v>0</v>
      </c>
      <c r="L234" s="192">
        <f t="shared" si="32"/>
        <v>0</v>
      </c>
      <c r="M234" s="192">
        <v>524.6</v>
      </c>
      <c r="N234" s="192">
        <f>+M234*1000/(25.4*20*15*60)*T234</f>
        <v>3.4422572178477688</v>
      </c>
      <c r="O234" s="192"/>
      <c r="P234" s="192">
        <f t="shared" si="34"/>
        <v>0</v>
      </c>
      <c r="Q234" s="192"/>
      <c r="R234" s="19">
        <f t="shared" si="35"/>
        <v>0</v>
      </c>
      <c r="S234" s="192">
        <f t="shared" si="36"/>
        <v>0</v>
      </c>
      <c r="T234" s="20">
        <v>3</v>
      </c>
      <c r="U234" s="20"/>
      <c r="V234" s="19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95">
        <v>300012</v>
      </c>
      <c r="B235" s="190" t="s">
        <v>43</v>
      </c>
      <c r="C235" s="226" t="s">
        <v>51</v>
      </c>
      <c r="D235" s="226"/>
      <c r="E235" s="194" t="s">
        <v>41</v>
      </c>
      <c r="F235" s="196"/>
      <c r="G235" s="192"/>
      <c r="H235" s="192"/>
      <c r="I235" s="192"/>
      <c r="J235" s="192"/>
      <c r="K235" s="192">
        <f t="shared" si="31"/>
        <v>0</v>
      </c>
      <c r="L235" s="192">
        <f t="shared" si="32"/>
        <v>0</v>
      </c>
      <c r="M235" s="192">
        <v>524.6</v>
      </c>
      <c r="N235" s="192">
        <f>+M235*1000/(25.4*20*15*60)*T235</f>
        <v>3.4422572178477688</v>
      </c>
      <c r="O235" s="192"/>
      <c r="P235" s="192">
        <f t="shared" si="34"/>
        <v>0</v>
      </c>
      <c r="Q235" s="192"/>
      <c r="R235" s="19">
        <f t="shared" si="35"/>
        <v>0</v>
      </c>
      <c r="S235" s="192">
        <f t="shared" si="36"/>
        <v>0</v>
      </c>
      <c r="T235" s="20">
        <v>3</v>
      </c>
      <c r="U235" s="20"/>
      <c r="V235" s="19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95">
        <v>300013</v>
      </c>
      <c r="B236" s="190" t="s">
        <v>221</v>
      </c>
      <c r="C236" s="226" t="s">
        <v>51</v>
      </c>
      <c r="D236" s="226"/>
      <c r="E236" s="194" t="s">
        <v>42</v>
      </c>
      <c r="F236" s="196"/>
      <c r="G236" s="192"/>
      <c r="H236" s="192"/>
      <c r="I236" s="192"/>
      <c r="J236" s="192"/>
      <c r="K236" s="192">
        <f t="shared" si="31"/>
        <v>0</v>
      </c>
      <c r="L236" s="192">
        <f t="shared" si="32"/>
        <v>0</v>
      </c>
      <c r="M236" s="192">
        <v>524.6</v>
      </c>
      <c r="N236" s="192">
        <f>+M236*1000/(25.4*20*15*60)*T236</f>
        <v>3.4422572178477688</v>
      </c>
      <c r="O236" s="192"/>
      <c r="P236" s="192">
        <f t="shared" si="34"/>
        <v>0</v>
      </c>
      <c r="Q236" s="192"/>
      <c r="R236" s="19">
        <f t="shared" si="35"/>
        <v>0</v>
      </c>
      <c r="S236" s="192">
        <f t="shared" si="36"/>
        <v>0</v>
      </c>
      <c r="T236" s="20">
        <v>3</v>
      </c>
      <c r="U236" s="20"/>
      <c r="V236" s="19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95">
        <v>300016</v>
      </c>
      <c r="B237" s="190" t="s">
        <v>43</v>
      </c>
      <c r="C237" s="226" t="s">
        <v>51</v>
      </c>
      <c r="D237" s="226"/>
      <c r="E237" s="194" t="s">
        <v>38</v>
      </c>
      <c r="F237" s="196"/>
      <c r="G237" s="192"/>
      <c r="H237" s="192"/>
      <c r="I237" s="192"/>
      <c r="J237" s="192"/>
      <c r="K237" s="192">
        <f t="shared" si="31"/>
        <v>0</v>
      </c>
      <c r="L237" s="192">
        <f t="shared" si="32"/>
        <v>0</v>
      </c>
      <c r="M237" s="192">
        <v>524.6</v>
      </c>
      <c r="N237" s="192">
        <f>+M237*1000/(25.4*20*15*60)*T237</f>
        <v>3.4422572178477688</v>
      </c>
      <c r="O237" s="192"/>
      <c r="P237" s="192">
        <f t="shared" si="34"/>
        <v>0</v>
      </c>
      <c r="Q237" s="192"/>
      <c r="R237" s="19">
        <f t="shared" si="35"/>
        <v>0</v>
      </c>
      <c r="S237" s="192">
        <f t="shared" si="36"/>
        <v>0</v>
      </c>
      <c r="T237" s="20">
        <v>3</v>
      </c>
      <c r="U237" s="20"/>
      <c r="V237" s="19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203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95">
        <v>300276</v>
      </c>
      <c r="B239" s="190" t="s">
        <v>43</v>
      </c>
      <c r="C239" s="226" t="s">
        <v>53</v>
      </c>
      <c r="D239" s="226"/>
      <c r="E239" s="194" t="s">
        <v>41</v>
      </c>
      <c r="F239" s="13"/>
      <c r="G239" s="110"/>
      <c r="H239" s="110"/>
      <c r="I239" s="110"/>
      <c r="J239" s="110"/>
      <c r="K239" s="192">
        <f t="shared" si="31"/>
        <v>0</v>
      </c>
      <c r="L239" s="192">
        <f t="shared" si="32"/>
        <v>0</v>
      </c>
      <c r="M239" s="15">
        <v>266</v>
      </c>
      <c r="N239" s="192">
        <f>+M239*1000/(29.8*10*13*60)*T239</f>
        <v>3.4331440371708828</v>
      </c>
      <c r="O239" s="192"/>
      <c r="P239" s="192">
        <f t="shared" si="34"/>
        <v>0</v>
      </c>
      <c r="Q239" s="192"/>
      <c r="R239" s="19">
        <f t="shared" si="35"/>
        <v>0</v>
      </c>
      <c r="S239" s="192">
        <f t="shared" si="36"/>
        <v>0</v>
      </c>
      <c r="T239" s="20">
        <v>3</v>
      </c>
      <c r="U239" s="20"/>
      <c r="V239" s="19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95">
        <v>300277</v>
      </c>
      <c r="B240" s="190" t="s">
        <v>43</v>
      </c>
      <c r="C240" s="226" t="s">
        <v>53</v>
      </c>
      <c r="D240" s="226"/>
      <c r="E240" s="194" t="s">
        <v>39</v>
      </c>
      <c r="F240" s="13"/>
      <c r="G240" s="110"/>
      <c r="H240" s="110"/>
      <c r="I240" s="110"/>
      <c r="J240" s="110"/>
      <c r="K240" s="192">
        <f t="shared" si="31"/>
        <v>0</v>
      </c>
      <c r="L240" s="192">
        <f t="shared" si="32"/>
        <v>0</v>
      </c>
      <c r="M240" s="15">
        <v>266</v>
      </c>
      <c r="N240" s="192">
        <f>+M240*1000/(29.8*10*13*60)*T240</f>
        <v>3.4331440371708828</v>
      </c>
      <c r="O240" s="192"/>
      <c r="P240" s="192">
        <f t="shared" si="34"/>
        <v>0</v>
      </c>
      <c r="Q240" s="192"/>
      <c r="R240" s="19">
        <f t="shared" si="35"/>
        <v>0</v>
      </c>
      <c r="S240" s="192">
        <f t="shared" si="36"/>
        <v>0</v>
      </c>
      <c r="T240" s="20">
        <v>3</v>
      </c>
      <c r="U240" s="20"/>
      <c r="V240" s="19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95">
        <v>300278</v>
      </c>
      <c r="B241" s="190" t="s">
        <v>43</v>
      </c>
      <c r="C241" s="226" t="s">
        <v>53</v>
      </c>
      <c r="D241" s="226"/>
      <c r="E241" s="194" t="s">
        <v>54</v>
      </c>
      <c r="F241" s="13"/>
      <c r="G241" s="110"/>
      <c r="H241" s="110"/>
      <c r="I241" s="110"/>
      <c r="J241" s="110"/>
      <c r="K241" s="192">
        <f t="shared" si="31"/>
        <v>0</v>
      </c>
      <c r="L241" s="192">
        <f t="shared" si="32"/>
        <v>0</v>
      </c>
      <c r="M241" s="15">
        <v>266</v>
      </c>
      <c r="N241" s="192">
        <f>+M241*1000/(29.8*10*13*60)*T241</f>
        <v>3.4331440371708828</v>
      </c>
      <c r="O241" s="192"/>
      <c r="P241" s="192">
        <f t="shared" si="34"/>
        <v>0</v>
      </c>
      <c r="Q241" s="192"/>
      <c r="R241" s="19">
        <f t="shared" si="35"/>
        <v>0</v>
      </c>
      <c r="S241" s="192">
        <f t="shared" si="36"/>
        <v>0</v>
      </c>
      <c r="T241" s="20">
        <v>3</v>
      </c>
      <c r="U241" s="20"/>
      <c r="V241" s="19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95">
        <v>300027</v>
      </c>
      <c r="B242" s="190" t="s">
        <v>55</v>
      </c>
      <c r="C242" s="226" t="s">
        <v>56</v>
      </c>
      <c r="D242" s="226"/>
      <c r="E242" s="194" t="s">
        <v>54</v>
      </c>
      <c r="F242" s="196"/>
      <c r="G242" s="192"/>
      <c r="H242" s="192"/>
      <c r="I242" s="192"/>
      <c r="J242" s="192"/>
      <c r="K242" s="192">
        <f t="shared" si="31"/>
        <v>0</v>
      </c>
      <c r="L242" s="192">
        <f t="shared" si="32"/>
        <v>0</v>
      </c>
      <c r="M242" s="192">
        <v>550.4</v>
      </c>
      <c r="N242" s="192">
        <f>+M242*1000/(31*20*15*60)*T242</f>
        <v>2.9591397849462364</v>
      </c>
      <c r="O242" s="192"/>
      <c r="P242" s="192">
        <f t="shared" si="34"/>
        <v>0</v>
      </c>
      <c r="Q242" s="192"/>
      <c r="R242" s="19">
        <f t="shared" si="35"/>
        <v>0</v>
      </c>
      <c r="S242" s="192">
        <f t="shared" si="36"/>
        <v>0</v>
      </c>
      <c r="T242" s="20">
        <v>3</v>
      </c>
      <c r="U242" s="20"/>
      <c r="V242" s="19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95">
        <v>300028</v>
      </c>
      <c r="B243" s="190" t="s">
        <v>55</v>
      </c>
      <c r="C243" s="226" t="s">
        <v>56</v>
      </c>
      <c r="D243" s="226"/>
      <c r="E243" s="194" t="s">
        <v>35</v>
      </c>
      <c r="F243" s="196"/>
      <c r="G243" s="192"/>
      <c r="H243" s="192"/>
      <c r="I243" s="192"/>
      <c r="J243" s="192"/>
      <c r="K243" s="192">
        <f t="shared" si="31"/>
        <v>0</v>
      </c>
      <c r="L243" s="192">
        <f t="shared" si="32"/>
        <v>0</v>
      </c>
      <c r="M243" s="192">
        <v>550.4</v>
      </c>
      <c r="N243" s="192">
        <f>+M243*1000/(31*20*15*60)*T243</f>
        <v>2.9591397849462364</v>
      </c>
      <c r="O243" s="192"/>
      <c r="P243" s="192">
        <f t="shared" si="34"/>
        <v>0</v>
      </c>
      <c r="Q243" s="192"/>
      <c r="R243" s="19">
        <f t="shared" si="35"/>
        <v>0</v>
      </c>
      <c r="S243" s="192">
        <f t="shared" si="36"/>
        <v>0</v>
      </c>
      <c r="T243" s="20">
        <v>3</v>
      </c>
      <c r="U243" s="20"/>
      <c r="V243" s="19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95">
        <v>300029</v>
      </c>
      <c r="B244" s="190" t="s">
        <v>55</v>
      </c>
      <c r="C244" s="226" t="s">
        <v>56</v>
      </c>
      <c r="D244" s="226"/>
      <c r="E244" s="194" t="s">
        <v>57</v>
      </c>
      <c r="F244" s="196"/>
      <c r="G244" s="192"/>
      <c r="H244" s="192"/>
      <c r="I244" s="192"/>
      <c r="J244" s="192"/>
      <c r="K244" s="192">
        <f t="shared" si="31"/>
        <v>0</v>
      </c>
      <c r="L244" s="192">
        <f t="shared" si="32"/>
        <v>0</v>
      </c>
      <c r="M244" s="192">
        <v>550.4</v>
      </c>
      <c r="N244" s="192">
        <f>+M244*1000/(31*20*15*60)*T244</f>
        <v>2.9591397849462364</v>
      </c>
      <c r="O244" s="192"/>
      <c r="P244" s="192">
        <f t="shared" si="34"/>
        <v>0</v>
      </c>
      <c r="Q244" s="192"/>
      <c r="R244" s="19">
        <f t="shared" si="35"/>
        <v>0</v>
      </c>
      <c r="S244" s="192">
        <f t="shared" si="36"/>
        <v>0</v>
      </c>
      <c r="T244" s="20">
        <v>3</v>
      </c>
      <c r="U244" s="20"/>
      <c r="V244" s="19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95">
        <v>300026</v>
      </c>
      <c r="B245" s="190" t="s">
        <v>55</v>
      </c>
      <c r="C245" s="226" t="s">
        <v>56</v>
      </c>
      <c r="D245" s="226"/>
      <c r="E245" s="194" t="s">
        <v>37</v>
      </c>
      <c r="F245" s="196"/>
      <c r="G245" s="192"/>
      <c r="H245" s="192"/>
      <c r="I245" s="192"/>
      <c r="J245" s="192"/>
      <c r="K245" s="192">
        <f t="shared" si="31"/>
        <v>0</v>
      </c>
      <c r="L245" s="192">
        <f t="shared" si="32"/>
        <v>0</v>
      </c>
      <c r="M245" s="192">
        <v>550.4</v>
      </c>
      <c r="N245" s="192">
        <f>+M245*1000/(31*20*15*60)*T245</f>
        <v>2.9591397849462364</v>
      </c>
      <c r="O245" s="192"/>
      <c r="P245" s="192">
        <f t="shared" si="34"/>
        <v>0</v>
      </c>
      <c r="Q245" s="192"/>
      <c r="R245" s="19">
        <f t="shared" si="35"/>
        <v>0</v>
      </c>
      <c r="S245" s="192">
        <f t="shared" si="36"/>
        <v>0</v>
      </c>
      <c r="T245" s="20">
        <v>3</v>
      </c>
      <c r="U245" s="20"/>
      <c r="V245" s="19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95">
        <v>300032</v>
      </c>
      <c r="B246" s="190">
        <v>3002</v>
      </c>
      <c r="C246" s="226" t="s">
        <v>58</v>
      </c>
      <c r="D246" s="226" t="s">
        <v>59</v>
      </c>
      <c r="E246" s="194" t="s">
        <v>35</v>
      </c>
      <c r="F246" s="196"/>
      <c r="G246" s="192"/>
      <c r="H246" s="192"/>
      <c r="I246" s="192"/>
      <c r="J246" s="192"/>
      <c r="K246" s="192">
        <f t="shared" si="31"/>
        <v>0</v>
      </c>
      <c r="L246" s="192">
        <f t="shared" si="32"/>
        <v>0</v>
      </c>
      <c r="M246" s="192">
        <v>285.7</v>
      </c>
      <c r="N246" s="192">
        <f>+M246*1000/(31*10*13*60)*T246</f>
        <v>7.0893300248138953</v>
      </c>
      <c r="O246" s="192"/>
      <c r="P246" s="192">
        <f t="shared" si="34"/>
        <v>0</v>
      </c>
      <c r="Q246" s="192"/>
      <c r="R246" s="19">
        <f t="shared" si="35"/>
        <v>0</v>
      </c>
      <c r="S246" s="192">
        <f t="shared" si="36"/>
        <v>0</v>
      </c>
      <c r="T246" s="20">
        <v>6</v>
      </c>
      <c r="U246" s="20"/>
      <c r="V246" s="19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95">
        <v>300413</v>
      </c>
      <c r="B247" s="190">
        <v>3002</v>
      </c>
      <c r="C247" s="237" t="s">
        <v>304</v>
      </c>
      <c r="D247" s="238"/>
      <c r="E247" s="194" t="s">
        <v>302</v>
      </c>
      <c r="F247" s="13"/>
      <c r="G247" s="110"/>
      <c r="H247" s="110"/>
      <c r="I247" s="110"/>
      <c r="J247" s="110"/>
      <c r="K247" s="192">
        <f t="shared" si="31"/>
        <v>0</v>
      </c>
      <c r="L247" s="192">
        <f t="shared" si="32"/>
        <v>0</v>
      </c>
      <c r="M247" s="192">
        <v>528.79999999999995</v>
      </c>
      <c r="N247" s="192">
        <f>+M247*1000/(31*10*13*60)*T247</f>
        <v>6.5607940446650126</v>
      </c>
      <c r="O247" s="192"/>
      <c r="P247" s="192">
        <f t="shared" si="34"/>
        <v>0</v>
      </c>
      <c r="Q247" s="192"/>
      <c r="R247" s="19">
        <f t="shared" si="35"/>
        <v>0</v>
      </c>
      <c r="S247" s="192">
        <f t="shared" si="36"/>
        <v>0</v>
      </c>
      <c r="T247" s="20">
        <v>3</v>
      </c>
      <c r="U247" s="20"/>
      <c r="V247" s="19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95">
        <v>300414</v>
      </c>
      <c r="B248" s="190">
        <v>3002</v>
      </c>
      <c r="C248" s="237" t="s">
        <v>304</v>
      </c>
      <c r="D248" s="238"/>
      <c r="E248" s="194" t="s">
        <v>299</v>
      </c>
      <c r="F248" s="13"/>
      <c r="G248" s="110"/>
      <c r="H248" s="110"/>
      <c r="I248" s="110"/>
      <c r="J248" s="110"/>
      <c r="K248" s="192">
        <f t="shared" si="31"/>
        <v>0</v>
      </c>
      <c r="L248" s="192">
        <f t="shared" si="32"/>
        <v>0</v>
      </c>
      <c r="M248" s="192">
        <v>528.79999999999995</v>
      </c>
      <c r="N248" s="192">
        <f>+M248*1000/(31*10*13*60)*T248</f>
        <v>6.5607940446650126</v>
      </c>
      <c r="O248" s="192"/>
      <c r="P248" s="192">
        <f t="shared" si="34"/>
        <v>0</v>
      </c>
      <c r="Q248" s="192"/>
      <c r="R248" s="19">
        <f t="shared" si="35"/>
        <v>0</v>
      </c>
      <c r="S248" s="192">
        <f t="shared" si="36"/>
        <v>0</v>
      </c>
      <c r="T248" s="20">
        <v>3</v>
      </c>
      <c r="U248" s="20"/>
      <c r="V248" s="19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95">
        <v>300415</v>
      </c>
      <c r="B249" s="190">
        <v>3002</v>
      </c>
      <c r="C249" s="237" t="s">
        <v>304</v>
      </c>
      <c r="D249" s="238"/>
      <c r="E249" s="194" t="s">
        <v>303</v>
      </c>
      <c r="F249" s="13"/>
      <c r="G249" s="110"/>
      <c r="H249" s="110"/>
      <c r="I249" s="110"/>
      <c r="J249" s="110"/>
      <c r="K249" s="192">
        <f t="shared" si="31"/>
        <v>0</v>
      </c>
      <c r="L249" s="192">
        <f t="shared" si="32"/>
        <v>0</v>
      </c>
      <c r="M249" s="192">
        <v>528.79999999999995</v>
      </c>
      <c r="N249" s="192">
        <f>+M249*1000/(31*10*13*60)*T249</f>
        <v>6.5607940446650126</v>
      </c>
      <c r="O249" s="192"/>
      <c r="P249" s="192">
        <f t="shared" si="34"/>
        <v>0</v>
      </c>
      <c r="Q249" s="192"/>
      <c r="R249" s="19">
        <f t="shared" si="35"/>
        <v>0</v>
      </c>
      <c r="S249" s="192">
        <f t="shared" si="36"/>
        <v>0</v>
      </c>
      <c r="T249" s="20">
        <v>3</v>
      </c>
      <c r="U249" s="20"/>
      <c r="V249" s="19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95">
        <v>300035</v>
      </c>
      <c r="B250" s="190" t="s">
        <v>60</v>
      </c>
      <c r="C250" s="226" t="s">
        <v>61</v>
      </c>
      <c r="D250" s="226" t="s">
        <v>62</v>
      </c>
      <c r="E250" s="194" t="s">
        <v>35</v>
      </c>
      <c r="F250" s="196"/>
      <c r="G250" s="192"/>
      <c r="H250" s="192"/>
      <c r="I250" s="192"/>
      <c r="J250" s="192"/>
      <c r="K250" s="192">
        <f t="shared" si="31"/>
        <v>0</v>
      </c>
      <c r="L250" s="192">
        <f t="shared" si="32"/>
        <v>0</v>
      </c>
      <c r="M250" s="192">
        <v>366.93</v>
      </c>
      <c r="N250" s="192">
        <f>+M250*1000/(35.8*10*13*60)*T250</f>
        <v>2.6280618822518265</v>
      </c>
      <c r="O250" s="192"/>
      <c r="P250" s="192">
        <f t="shared" si="34"/>
        <v>0</v>
      </c>
      <c r="Q250" s="192"/>
      <c r="R250" s="19">
        <f t="shared" si="35"/>
        <v>0</v>
      </c>
      <c r="S250" s="192">
        <f t="shared" si="36"/>
        <v>0</v>
      </c>
      <c r="T250" s="20">
        <v>2</v>
      </c>
      <c r="U250" s="20"/>
      <c r="V250" s="19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95">
        <v>300036</v>
      </c>
      <c r="B251" s="190" t="s">
        <v>60</v>
      </c>
      <c r="C251" s="226" t="s">
        <v>61</v>
      </c>
      <c r="D251" s="226" t="s">
        <v>62</v>
      </c>
      <c r="E251" s="194" t="s">
        <v>63</v>
      </c>
      <c r="F251" s="196"/>
      <c r="G251" s="192"/>
      <c r="H251" s="192"/>
      <c r="I251" s="192"/>
      <c r="J251" s="192"/>
      <c r="K251" s="192">
        <f t="shared" si="31"/>
        <v>0</v>
      </c>
      <c r="L251" s="192">
        <f t="shared" si="32"/>
        <v>0</v>
      </c>
      <c r="M251" s="192">
        <v>366.93</v>
      </c>
      <c r="N251" s="192">
        <f>+M251*1000/(35.8*10*13*60)*T251</f>
        <v>2.6280618822518265</v>
      </c>
      <c r="O251" s="192"/>
      <c r="P251" s="192">
        <f t="shared" si="34"/>
        <v>0</v>
      </c>
      <c r="Q251" s="192"/>
      <c r="R251" s="19">
        <f t="shared" si="35"/>
        <v>0</v>
      </c>
      <c r="S251" s="192">
        <f t="shared" si="36"/>
        <v>0</v>
      </c>
      <c r="T251" s="20">
        <v>2</v>
      </c>
      <c r="U251" s="20"/>
      <c r="V251" s="19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95">
        <v>300037</v>
      </c>
      <c r="B252" s="190" t="s">
        <v>60</v>
      </c>
      <c r="C252" s="226" t="s">
        <v>61</v>
      </c>
      <c r="D252" s="226" t="s">
        <v>62</v>
      </c>
      <c r="E252" s="194" t="s">
        <v>37</v>
      </c>
      <c r="F252" s="196"/>
      <c r="G252" s="192"/>
      <c r="H252" s="192"/>
      <c r="I252" s="192"/>
      <c r="J252" s="192"/>
      <c r="K252" s="192">
        <f t="shared" si="31"/>
        <v>0</v>
      </c>
      <c r="L252" s="192">
        <f t="shared" si="32"/>
        <v>0</v>
      </c>
      <c r="M252" s="192">
        <v>366.93</v>
      </c>
      <c r="N252" s="192">
        <f>+M252*1000/(35.8*10*13*60)*T252</f>
        <v>2.6280618822518265</v>
      </c>
      <c r="O252" s="192"/>
      <c r="P252" s="192">
        <f t="shared" si="34"/>
        <v>0</v>
      </c>
      <c r="Q252" s="192"/>
      <c r="R252" s="19">
        <f t="shared" si="35"/>
        <v>0</v>
      </c>
      <c r="S252" s="192">
        <f t="shared" si="36"/>
        <v>0</v>
      </c>
      <c r="T252" s="20">
        <v>2</v>
      </c>
      <c r="U252" s="20"/>
      <c r="V252" s="19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95">
        <v>300038</v>
      </c>
      <c r="B253" s="190" t="s">
        <v>60</v>
      </c>
      <c r="C253" s="226" t="s">
        <v>64</v>
      </c>
      <c r="D253" s="226" t="s">
        <v>65</v>
      </c>
      <c r="E253" s="194" t="s">
        <v>35</v>
      </c>
      <c r="F253" s="196"/>
      <c r="G253" s="192"/>
      <c r="H253" s="192"/>
      <c r="I253" s="192"/>
      <c r="J253" s="192"/>
      <c r="K253" s="192">
        <f t="shared" si="31"/>
        <v>0</v>
      </c>
      <c r="L253" s="192">
        <f t="shared" si="32"/>
        <v>0</v>
      </c>
      <c r="M253" s="192">
        <v>301.14</v>
      </c>
      <c r="N253" s="192">
        <f>+M253*1000/(35.8*10*13*60)*T253</f>
        <v>5.3921357971637294</v>
      </c>
      <c r="O253" s="192"/>
      <c r="P253" s="192">
        <f t="shared" si="34"/>
        <v>0</v>
      </c>
      <c r="Q253" s="192"/>
      <c r="R253" s="19">
        <f t="shared" si="35"/>
        <v>0</v>
      </c>
      <c r="S253" s="192">
        <f t="shared" si="36"/>
        <v>0</v>
      </c>
      <c r="T253" s="20">
        <v>5</v>
      </c>
      <c r="U253" s="20"/>
      <c r="V253" s="19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95">
        <v>300039</v>
      </c>
      <c r="B254" s="190" t="s">
        <v>60</v>
      </c>
      <c r="C254" s="226" t="s">
        <v>64</v>
      </c>
      <c r="D254" s="226" t="s">
        <v>65</v>
      </c>
      <c r="E254" s="194" t="s">
        <v>66</v>
      </c>
      <c r="F254" s="196"/>
      <c r="G254" s="192"/>
      <c r="H254" s="192"/>
      <c r="I254" s="192"/>
      <c r="J254" s="192"/>
      <c r="K254" s="192">
        <f t="shared" si="31"/>
        <v>0</v>
      </c>
      <c r="L254" s="192">
        <f t="shared" si="32"/>
        <v>0</v>
      </c>
      <c r="M254" s="192">
        <v>310.39999999999998</v>
      </c>
      <c r="N254" s="192">
        <f>+M254*1000/(35.8*10*13*60)*T254</f>
        <v>5.557942988110586</v>
      </c>
      <c r="O254" s="192"/>
      <c r="P254" s="192">
        <f t="shared" si="34"/>
        <v>0</v>
      </c>
      <c r="Q254" s="192"/>
      <c r="R254" s="19">
        <f t="shared" si="35"/>
        <v>0</v>
      </c>
      <c r="S254" s="192">
        <f t="shared" si="36"/>
        <v>0</v>
      </c>
      <c r="T254" s="20">
        <v>5</v>
      </c>
      <c r="U254" s="20"/>
      <c r="V254" s="19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95">
        <v>300416</v>
      </c>
      <c r="B255" s="190" t="s">
        <v>67</v>
      </c>
      <c r="C255" s="237" t="s">
        <v>68</v>
      </c>
      <c r="D255" s="238"/>
      <c r="E255" s="194" t="s">
        <v>69</v>
      </c>
      <c r="F255" s="196"/>
      <c r="G255" s="14"/>
      <c r="H255" s="14"/>
      <c r="I255" s="14"/>
      <c r="J255" s="14"/>
      <c r="K255" s="192">
        <f t="shared" si="31"/>
        <v>0</v>
      </c>
      <c r="L255" s="192">
        <f t="shared" si="32"/>
        <v>0</v>
      </c>
      <c r="M255" s="192">
        <v>385.6</v>
      </c>
      <c r="N255" s="192">
        <f>+M255*1000/(25.4*20*15*60)*T255</f>
        <v>2.5301837270341205</v>
      </c>
      <c r="O255" s="192"/>
      <c r="P255" s="192">
        <f t="shared" si="34"/>
        <v>0</v>
      </c>
      <c r="Q255" s="192"/>
      <c r="R255" s="19">
        <f t="shared" si="35"/>
        <v>0</v>
      </c>
      <c r="S255" s="192">
        <f t="shared" si="36"/>
        <v>0</v>
      </c>
      <c r="T255" s="20">
        <v>3</v>
      </c>
      <c r="U255" s="20"/>
      <c r="V255" s="19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95">
        <v>300417</v>
      </c>
      <c r="B256" s="190" t="s">
        <v>67</v>
      </c>
      <c r="C256" s="237" t="s">
        <v>68</v>
      </c>
      <c r="D256" s="238"/>
      <c r="E256" s="194" t="s">
        <v>70</v>
      </c>
      <c r="F256" s="196"/>
      <c r="G256" s="14"/>
      <c r="H256" s="14"/>
      <c r="I256" s="14"/>
      <c r="J256" s="14"/>
      <c r="K256" s="192">
        <f t="shared" si="31"/>
        <v>0</v>
      </c>
      <c r="L256" s="192">
        <f t="shared" si="32"/>
        <v>0</v>
      </c>
      <c r="M256" s="192">
        <v>385.6</v>
      </c>
      <c r="N256" s="192">
        <f>+M256*1000/(25.4*20*15*60)*T256</f>
        <v>2.5301837270341205</v>
      </c>
      <c r="O256" s="192"/>
      <c r="P256" s="192">
        <f t="shared" si="34"/>
        <v>0</v>
      </c>
      <c r="Q256" s="192"/>
      <c r="R256" s="19">
        <f t="shared" si="35"/>
        <v>0</v>
      </c>
      <c r="S256" s="192">
        <f t="shared" si="36"/>
        <v>0</v>
      </c>
      <c r="T256" s="20">
        <v>3</v>
      </c>
      <c r="U256" s="20"/>
      <c r="V256" s="19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95">
        <v>300418</v>
      </c>
      <c r="B257" s="190" t="s">
        <v>67</v>
      </c>
      <c r="C257" s="237" t="s">
        <v>68</v>
      </c>
      <c r="D257" s="238"/>
      <c r="E257" s="194" t="s">
        <v>71</v>
      </c>
      <c r="F257" s="196"/>
      <c r="G257" s="14"/>
      <c r="H257" s="14"/>
      <c r="I257" s="14"/>
      <c r="J257" s="14"/>
      <c r="K257" s="192">
        <f t="shared" si="31"/>
        <v>0</v>
      </c>
      <c r="L257" s="192">
        <f t="shared" si="32"/>
        <v>0</v>
      </c>
      <c r="M257" s="192">
        <v>385.6</v>
      </c>
      <c r="N257" s="192">
        <f>+M257*1000/(25.4*20*15*60)*T257</f>
        <v>2.5301837270341205</v>
      </c>
      <c r="O257" s="192"/>
      <c r="P257" s="192">
        <f t="shared" si="34"/>
        <v>0</v>
      </c>
      <c r="Q257" s="192"/>
      <c r="R257" s="19">
        <f t="shared" si="35"/>
        <v>0</v>
      </c>
      <c r="S257" s="192">
        <f t="shared" si="36"/>
        <v>0</v>
      </c>
      <c r="T257" s="20">
        <v>3</v>
      </c>
      <c r="U257" s="20"/>
      <c r="V257" s="19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95">
        <v>300419</v>
      </c>
      <c r="B258" s="190" t="s">
        <v>67</v>
      </c>
      <c r="C258" s="237" t="s">
        <v>68</v>
      </c>
      <c r="D258" s="238"/>
      <c r="E258" s="194" t="s">
        <v>72</v>
      </c>
      <c r="F258" s="196"/>
      <c r="G258" s="14"/>
      <c r="H258" s="14"/>
      <c r="I258" s="14"/>
      <c r="J258" s="14"/>
      <c r="K258" s="192">
        <f t="shared" si="31"/>
        <v>0</v>
      </c>
      <c r="L258" s="192">
        <f t="shared" si="32"/>
        <v>0</v>
      </c>
      <c r="M258" s="192">
        <v>385.6</v>
      </c>
      <c r="N258" s="192">
        <f>+M258*1000/(25.4*20*15*60)*T258</f>
        <v>2.5301837270341205</v>
      </c>
      <c r="O258" s="192"/>
      <c r="P258" s="192">
        <f t="shared" si="34"/>
        <v>0</v>
      </c>
      <c r="Q258" s="192"/>
      <c r="R258" s="19">
        <f t="shared" si="35"/>
        <v>0</v>
      </c>
      <c r="S258" s="192">
        <f t="shared" si="36"/>
        <v>0</v>
      </c>
      <c r="T258" s="20">
        <v>3</v>
      </c>
      <c r="U258" s="20"/>
      <c r="V258" s="19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95">
        <v>300260</v>
      </c>
      <c r="B259" s="190" t="s">
        <v>67</v>
      </c>
      <c r="C259" s="226" t="s">
        <v>73</v>
      </c>
      <c r="D259" s="226"/>
      <c r="E259" s="194" t="s">
        <v>74</v>
      </c>
      <c r="F259" s="196"/>
      <c r="G259" s="192"/>
      <c r="H259" s="192"/>
      <c r="I259" s="192"/>
      <c r="J259" s="192"/>
      <c r="K259" s="192">
        <f t="shared" si="31"/>
        <v>0</v>
      </c>
      <c r="L259" s="192">
        <f t="shared" si="32"/>
        <v>0</v>
      </c>
      <c r="M259" s="192">
        <v>434.33</v>
      </c>
      <c r="N259" s="192">
        <f>+M259*1000/(42.7*10*15*60)*T259</f>
        <v>2.2603695029924538</v>
      </c>
      <c r="O259" s="192"/>
      <c r="P259" s="192">
        <f t="shared" si="34"/>
        <v>0</v>
      </c>
      <c r="Q259" s="192"/>
      <c r="R259" s="19">
        <f t="shared" si="35"/>
        <v>0</v>
      </c>
      <c r="S259" s="192">
        <f t="shared" si="36"/>
        <v>0</v>
      </c>
      <c r="T259" s="20">
        <v>2</v>
      </c>
      <c r="U259" s="20"/>
      <c r="V259" s="19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95">
        <v>300261</v>
      </c>
      <c r="B260" s="190" t="s">
        <v>67</v>
      </c>
      <c r="C260" s="226" t="s">
        <v>73</v>
      </c>
      <c r="D260" s="226"/>
      <c r="E260" s="194" t="s">
        <v>41</v>
      </c>
      <c r="F260" s="196"/>
      <c r="G260" s="192"/>
      <c r="H260" s="192"/>
      <c r="I260" s="192"/>
      <c r="J260" s="192"/>
      <c r="K260" s="192">
        <f t="shared" si="31"/>
        <v>0</v>
      </c>
      <c r="L260" s="192">
        <f t="shared" si="32"/>
        <v>0</v>
      </c>
      <c r="M260" s="192">
        <v>434.33</v>
      </c>
      <c r="N260" s="192">
        <f>+M260*1000/(42.7*10*15*60)*T260</f>
        <v>2.2603695029924538</v>
      </c>
      <c r="O260" s="192"/>
      <c r="P260" s="192">
        <f t="shared" si="34"/>
        <v>0</v>
      </c>
      <c r="Q260" s="192"/>
      <c r="R260" s="19">
        <f t="shared" si="35"/>
        <v>0</v>
      </c>
      <c r="S260" s="192">
        <f t="shared" si="36"/>
        <v>0</v>
      </c>
      <c r="T260" s="20">
        <v>2</v>
      </c>
      <c r="U260" s="20"/>
      <c r="V260" s="19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95">
        <v>300262</v>
      </c>
      <c r="B261" s="190" t="s">
        <v>67</v>
      </c>
      <c r="C261" s="226" t="s">
        <v>73</v>
      </c>
      <c r="D261" s="226"/>
      <c r="E261" s="194" t="s">
        <v>39</v>
      </c>
      <c r="F261" s="196"/>
      <c r="G261" s="192"/>
      <c r="H261" s="192"/>
      <c r="I261" s="192"/>
      <c r="J261" s="192"/>
      <c r="K261" s="192">
        <f t="shared" si="31"/>
        <v>0</v>
      </c>
      <c r="L261" s="192">
        <f t="shared" si="32"/>
        <v>0</v>
      </c>
      <c r="M261" s="192">
        <v>434.33</v>
      </c>
      <c r="N261" s="192">
        <f>+M261*1000/(42.7*10*15*60)*T261</f>
        <v>2.2603695029924538</v>
      </c>
      <c r="O261" s="192"/>
      <c r="P261" s="192">
        <f t="shared" si="34"/>
        <v>0</v>
      </c>
      <c r="Q261" s="192"/>
      <c r="R261" s="19">
        <f t="shared" si="35"/>
        <v>0</v>
      </c>
      <c r="S261" s="192">
        <f t="shared" si="36"/>
        <v>0</v>
      </c>
      <c r="T261" s="20">
        <v>2</v>
      </c>
      <c r="U261" s="20"/>
      <c r="V261" s="19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95">
        <v>300263</v>
      </c>
      <c r="B262" s="190" t="s">
        <v>67</v>
      </c>
      <c r="C262" s="226" t="s">
        <v>73</v>
      </c>
      <c r="D262" s="226"/>
      <c r="E262" s="194" t="s">
        <v>54</v>
      </c>
      <c r="F262" s="196"/>
      <c r="G262" s="192"/>
      <c r="H262" s="192"/>
      <c r="I262" s="192"/>
      <c r="J262" s="192"/>
      <c r="K262" s="192">
        <f t="shared" si="31"/>
        <v>0</v>
      </c>
      <c r="L262" s="192">
        <f t="shared" si="32"/>
        <v>0</v>
      </c>
      <c r="M262" s="192">
        <v>434.33</v>
      </c>
      <c r="N262" s="192">
        <f>+M262*1000/(42.7*10*15*60)*T262</f>
        <v>2.2603695029924538</v>
      </c>
      <c r="O262" s="192"/>
      <c r="P262" s="192">
        <f t="shared" si="34"/>
        <v>0</v>
      </c>
      <c r="Q262" s="192"/>
      <c r="R262" s="19">
        <f t="shared" si="35"/>
        <v>0</v>
      </c>
      <c r="S262" s="192">
        <f t="shared" si="36"/>
        <v>0</v>
      </c>
      <c r="T262" s="20">
        <v>2</v>
      </c>
      <c r="U262" s="20"/>
      <c r="V262" s="19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95">
        <v>300051</v>
      </c>
      <c r="B263" s="190" t="s">
        <v>67</v>
      </c>
      <c r="C263" s="226" t="s">
        <v>75</v>
      </c>
      <c r="D263" s="226" t="s">
        <v>76</v>
      </c>
      <c r="E263" s="194" t="s">
        <v>40</v>
      </c>
      <c r="F263" s="196"/>
      <c r="G263" s="192"/>
      <c r="H263" s="192"/>
      <c r="I263" s="192"/>
      <c r="J263" s="192"/>
      <c r="K263" s="192">
        <f t="shared" si="31"/>
        <v>0</v>
      </c>
      <c r="L263" s="192">
        <f t="shared" si="32"/>
        <v>0</v>
      </c>
      <c r="M263" s="192">
        <v>545.9</v>
      </c>
      <c r="N263" s="192">
        <f>+M263*1000/(41.5*10*16*60)*T263</f>
        <v>2.7404618473895583</v>
      </c>
      <c r="O263" s="192"/>
      <c r="P263" s="192">
        <f t="shared" si="34"/>
        <v>0</v>
      </c>
      <c r="Q263" s="192"/>
      <c r="R263" s="19">
        <f t="shared" si="35"/>
        <v>0</v>
      </c>
      <c r="S263" s="192">
        <f t="shared" si="36"/>
        <v>0</v>
      </c>
      <c r="T263" s="22">
        <v>2</v>
      </c>
      <c r="U263" s="20"/>
      <c r="V263" s="19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95">
        <v>300052</v>
      </c>
      <c r="B264" s="190" t="s">
        <v>67</v>
      </c>
      <c r="C264" s="226" t="s">
        <v>75</v>
      </c>
      <c r="D264" s="226" t="s">
        <v>76</v>
      </c>
      <c r="E264" s="194" t="s">
        <v>39</v>
      </c>
      <c r="F264" s="196"/>
      <c r="G264" s="192"/>
      <c r="H264" s="192"/>
      <c r="I264" s="192"/>
      <c r="J264" s="192"/>
      <c r="K264" s="192">
        <f t="shared" si="31"/>
        <v>0</v>
      </c>
      <c r="L264" s="192">
        <f t="shared" si="32"/>
        <v>0</v>
      </c>
      <c r="M264" s="192">
        <v>545.9</v>
      </c>
      <c r="N264" s="192">
        <f>+M264*1000/(41.5*10*16*60)*T264</f>
        <v>2.7404618473895583</v>
      </c>
      <c r="O264" s="192"/>
      <c r="P264" s="192">
        <f t="shared" si="34"/>
        <v>0</v>
      </c>
      <c r="Q264" s="192"/>
      <c r="R264" s="19">
        <f t="shared" si="35"/>
        <v>0</v>
      </c>
      <c r="S264" s="192">
        <f t="shared" si="36"/>
        <v>0</v>
      </c>
      <c r="T264" s="20">
        <v>2</v>
      </c>
      <c r="U264" s="20"/>
      <c r="V264" s="19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95">
        <v>300054</v>
      </c>
      <c r="B265" s="190" t="s">
        <v>67</v>
      </c>
      <c r="C265" s="226" t="s">
        <v>75</v>
      </c>
      <c r="D265" s="226" t="s">
        <v>76</v>
      </c>
      <c r="E265" s="194" t="s">
        <v>38</v>
      </c>
      <c r="F265" s="196"/>
      <c r="G265" s="192"/>
      <c r="H265" s="192"/>
      <c r="I265" s="192"/>
      <c r="J265" s="192"/>
      <c r="K265" s="192">
        <f t="shared" si="31"/>
        <v>0</v>
      </c>
      <c r="L265" s="192">
        <f t="shared" si="32"/>
        <v>0</v>
      </c>
      <c r="M265" s="192">
        <v>545.9</v>
      </c>
      <c r="N265" s="192">
        <f>+M265*1000/(41.5*10*16*60)*T265</f>
        <v>2.7404618473895583</v>
      </c>
      <c r="O265" s="192"/>
      <c r="P265" s="192">
        <f t="shared" si="34"/>
        <v>0</v>
      </c>
      <c r="Q265" s="192"/>
      <c r="R265" s="19">
        <f t="shared" si="35"/>
        <v>0</v>
      </c>
      <c r="S265" s="192">
        <f t="shared" si="36"/>
        <v>0</v>
      </c>
      <c r="T265" s="20">
        <v>2</v>
      </c>
      <c r="U265" s="20"/>
      <c r="V265" s="19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203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95">
        <v>300050</v>
      </c>
      <c r="B267" s="190" t="s">
        <v>67</v>
      </c>
      <c r="C267" s="226" t="s">
        <v>77</v>
      </c>
      <c r="D267" s="226" t="s">
        <v>78</v>
      </c>
      <c r="E267" s="194" t="s">
        <v>79</v>
      </c>
      <c r="F267" s="196"/>
      <c r="G267" s="192"/>
      <c r="H267" s="192"/>
      <c r="I267" s="192"/>
      <c r="J267" s="192"/>
      <c r="K267" s="192">
        <f t="shared" si="31"/>
        <v>0</v>
      </c>
      <c r="L267" s="192">
        <f t="shared" si="32"/>
        <v>0</v>
      </c>
      <c r="M267" s="192">
        <v>427.5</v>
      </c>
      <c r="N267" s="192">
        <f>+M267*1000/(45*10*14*60)*T267</f>
        <v>5.6547619047619051</v>
      </c>
      <c r="O267" s="192"/>
      <c r="P267" s="192">
        <f t="shared" si="34"/>
        <v>0</v>
      </c>
      <c r="Q267" s="192"/>
      <c r="R267" s="19">
        <f t="shared" si="35"/>
        <v>0</v>
      </c>
      <c r="S267" s="192">
        <f t="shared" si="36"/>
        <v>0</v>
      </c>
      <c r="T267" s="20">
        <v>5</v>
      </c>
      <c r="U267" s="20"/>
      <c r="V267" s="19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95">
        <v>300045</v>
      </c>
      <c r="B268" s="190" t="s">
        <v>67</v>
      </c>
      <c r="C268" s="226" t="s">
        <v>77</v>
      </c>
      <c r="D268" s="226" t="s">
        <v>78</v>
      </c>
      <c r="E268" s="194" t="s">
        <v>35</v>
      </c>
      <c r="F268" s="196"/>
      <c r="G268" s="192"/>
      <c r="H268" s="192"/>
      <c r="I268" s="192"/>
      <c r="J268" s="192"/>
      <c r="K268" s="192">
        <f t="shared" si="31"/>
        <v>0</v>
      </c>
      <c r="L268" s="192">
        <f t="shared" si="32"/>
        <v>0</v>
      </c>
      <c r="M268" s="192">
        <v>406.6</v>
      </c>
      <c r="N268" s="192">
        <f>+M268*1000/(45*10*13*60)*T268</f>
        <v>5.7920227920227916</v>
      </c>
      <c r="O268" s="192"/>
      <c r="P268" s="192">
        <f t="shared" si="34"/>
        <v>0</v>
      </c>
      <c r="Q268" s="192"/>
      <c r="R268" s="19">
        <f t="shared" si="35"/>
        <v>0</v>
      </c>
      <c r="S268" s="192">
        <f t="shared" si="36"/>
        <v>0</v>
      </c>
      <c r="T268" s="20">
        <v>5</v>
      </c>
      <c r="U268" s="20"/>
      <c r="V268" s="19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95">
        <v>300422</v>
      </c>
      <c r="B269" s="190" t="s">
        <v>67</v>
      </c>
      <c r="C269" s="237" t="s">
        <v>301</v>
      </c>
      <c r="D269" s="238"/>
      <c r="E269" s="194" t="s">
        <v>54</v>
      </c>
      <c r="F269" s="196"/>
      <c r="G269" s="110"/>
      <c r="H269" s="110"/>
      <c r="I269" s="110"/>
      <c r="J269" s="110"/>
      <c r="K269" s="192">
        <f t="shared" si="31"/>
        <v>0</v>
      </c>
      <c r="L269" s="192">
        <f t="shared" si="32"/>
        <v>0</v>
      </c>
      <c r="M269" s="192">
        <v>429.8</v>
      </c>
      <c r="N269" s="192">
        <f>+M269*1000/(45*10*13*60)*T269</f>
        <v>3.6735042735042738</v>
      </c>
      <c r="O269" s="192"/>
      <c r="P269" s="192">
        <f t="shared" si="34"/>
        <v>0</v>
      </c>
      <c r="Q269" s="192"/>
      <c r="R269" s="19">
        <f t="shared" si="35"/>
        <v>0</v>
      </c>
      <c r="S269" s="192">
        <f t="shared" si="36"/>
        <v>0</v>
      </c>
      <c r="T269" s="20">
        <v>3</v>
      </c>
      <c r="U269" s="20"/>
      <c r="V269" s="19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95">
        <v>300421</v>
      </c>
      <c r="B270" s="190" t="s">
        <v>67</v>
      </c>
      <c r="C270" s="237" t="s">
        <v>301</v>
      </c>
      <c r="D270" s="238"/>
      <c r="E270" s="194" t="s">
        <v>80</v>
      </c>
      <c r="F270" s="196"/>
      <c r="G270" s="110"/>
      <c r="H270" s="110"/>
      <c r="I270" s="110"/>
      <c r="J270" s="110"/>
      <c r="K270" s="192">
        <f t="shared" si="31"/>
        <v>0</v>
      </c>
      <c r="L270" s="192">
        <f t="shared" si="32"/>
        <v>0</v>
      </c>
      <c r="M270" s="192">
        <v>429.8</v>
      </c>
      <c r="N270" s="192">
        <f>+M270*1000/(45*10*13*60)*T270</f>
        <v>3.6735042735042738</v>
      </c>
      <c r="O270" s="192"/>
      <c r="P270" s="192">
        <f t="shared" si="34"/>
        <v>0</v>
      </c>
      <c r="Q270" s="192"/>
      <c r="R270" s="19">
        <f t="shared" si="35"/>
        <v>0</v>
      </c>
      <c r="S270" s="192">
        <f t="shared" si="36"/>
        <v>0</v>
      </c>
      <c r="T270" s="20">
        <v>3</v>
      </c>
      <c r="U270" s="20"/>
      <c r="V270" s="19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95">
        <v>300149</v>
      </c>
      <c r="B271" s="190" t="s">
        <v>67</v>
      </c>
      <c r="C271" s="226" t="s">
        <v>81</v>
      </c>
      <c r="D271" s="226" t="s">
        <v>82</v>
      </c>
      <c r="E271" s="194" t="s">
        <v>80</v>
      </c>
      <c r="F271" s="196"/>
      <c r="G271" s="192"/>
      <c r="H271" s="192"/>
      <c r="I271" s="192"/>
      <c r="J271" s="192"/>
      <c r="K271" s="192">
        <f t="shared" si="31"/>
        <v>0</v>
      </c>
      <c r="L271" s="192">
        <f t="shared" si="32"/>
        <v>0</v>
      </c>
      <c r="M271" s="192">
        <v>589.1</v>
      </c>
      <c r="N271" s="192">
        <f>+M271*1000/(67.1*10*13*60)*T271</f>
        <v>3.3767052619511633</v>
      </c>
      <c r="O271" s="192"/>
      <c r="P271" s="192">
        <f t="shared" si="34"/>
        <v>0</v>
      </c>
      <c r="Q271" s="192"/>
      <c r="R271" s="19">
        <f t="shared" si="35"/>
        <v>0</v>
      </c>
      <c r="S271" s="192">
        <f t="shared" si="36"/>
        <v>0</v>
      </c>
      <c r="T271" s="20">
        <v>3</v>
      </c>
      <c r="U271" s="20"/>
      <c r="V271" s="19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95">
        <v>300150</v>
      </c>
      <c r="B272" s="190" t="s">
        <v>67</v>
      </c>
      <c r="C272" s="226" t="s">
        <v>81</v>
      </c>
      <c r="D272" s="226" t="s">
        <v>82</v>
      </c>
      <c r="E272" s="194" t="s">
        <v>54</v>
      </c>
      <c r="F272" s="196"/>
      <c r="G272" s="192"/>
      <c r="H272" s="192"/>
      <c r="I272" s="192"/>
      <c r="J272" s="192"/>
      <c r="K272" s="192">
        <f t="shared" si="31"/>
        <v>0</v>
      </c>
      <c r="L272" s="192">
        <f t="shared" si="32"/>
        <v>0</v>
      </c>
      <c r="M272" s="192">
        <v>589.1</v>
      </c>
      <c r="N272" s="192">
        <f>+M272*1000/(67.1*10*13*60)*T272</f>
        <v>3.3767052619511633</v>
      </c>
      <c r="O272" s="192"/>
      <c r="P272" s="192">
        <f t="shared" si="34"/>
        <v>0</v>
      </c>
      <c r="Q272" s="192"/>
      <c r="R272" s="19">
        <f t="shared" si="35"/>
        <v>0</v>
      </c>
      <c r="S272" s="192">
        <f t="shared" si="36"/>
        <v>0</v>
      </c>
      <c r="T272" s="20">
        <v>3</v>
      </c>
      <c r="U272" s="20"/>
      <c r="V272" s="19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95">
        <v>300330</v>
      </c>
      <c r="B273" s="190" t="s">
        <v>67</v>
      </c>
      <c r="C273" s="237" t="s">
        <v>83</v>
      </c>
      <c r="D273" s="238"/>
      <c r="E273" s="194" t="s">
        <v>84</v>
      </c>
      <c r="F273" s="196"/>
      <c r="G273" s="192"/>
      <c r="H273" s="192"/>
      <c r="I273" s="192"/>
      <c r="J273" s="192"/>
      <c r="K273" s="192">
        <f t="shared" si="31"/>
        <v>0</v>
      </c>
      <c r="L273" s="192">
        <f t="shared" si="32"/>
        <v>0</v>
      </c>
      <c r="M273" s="192">
        <v>416.3</v>
      </c>
      <c r="N273" s="192">
        <f t="shared" ref="N273:N278" si="37">+M273*1000/(45*10*18*60)*T273</f>
        <v>1.7131687242798355</v>
      </c>
      <c r="O273" s="192"/>
      <c r="P273" s="192">
        <f t="shared" si="34"/>
        <v>0</v>
      </c>
      <c r="Q273" s="192"/>
      <c r="R273" s="19">
        <f t="shared" si="35"/>
        <v>0</v>
      </c>
      <c r="S273" s="192">
        <f t="shared" si="36"/>
        <v>0</v>
      </c>
      <c r="T273" s="20">
        <v>2</v>
      </c>
      <c r="U273" s="20"/>
      <c r="V273" s="19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95">
        <v>300331</v>
      </c>
      <c r="B274" s="190" t="s">
        <v>67</v>
      </c>
      <c r="C274" s="237" t="s">
        <v>83</v>
      </c>
      <c r="D274" s="238"/>
      <c r="E274" s="194" t="s">
        <v>49</v>
      </c>
      <c r="F274" s="196"/>
      <c r="G274" s="192"/>
      <c r="H274" s="192"/>
      <c r="I274" s="192"/>
      <c r="J274" s="192"/>
      <c r="K274" s="192">
        <f t="shared" si="31"/>
        <v>0</v>
      </c>
      <c r="L274" s="192">
        <f t="shared" si="32"/>
        <v>0</v>
      </c>
      <c r="M274" s="192">
        <v>416.3</v>
      </c>
      <c r="N274" s="192">
        <f t="shared" si="37"/>
        <v>1.7131687242798355</v>
      </c>
      <c r="O274" s="192"/>
      <c r="P274" s="192">
        <f t="shared" si="34"/>
        <v>0</v>
      </c>
      <c r="Q274" s="192"/>
      <c r="R274" s="19">
        <f t="shared" si="35"/>
        <v>0</v>
      </c>
      <c r="S274" s="192">
        <f t="shared" si="36"/>
        <v>0</v>
      </c>
      <c r="T274" s="20">
        <v>2</v>
      </c>
      <c r="U274" s="20"/>
      <c r="V274" s="19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95">
        <v>300332</v>
      </c>
      <c r="B275" s="190" t="s">
        <v>67</v>
      </c>
      <c r="C275" s="237" t="s">
        <v>83</v>
      </c>
      <c r="D275" s="238"/>
      <c r="E275" s="194" t="s">
        <v>85</v>
      </c>
      <c r="F275" s="196"/>
      <c r="G275" s="192"/>
      <c r="H275" s="192"/>
      <c r="I275" s="192"/>
      <c r="J275" s="192"/>
      <c r="K275" s="192">
        <f t="shared" si="31"/>
        <v>0</v>
      </c>
      <c r="L275" s="192">
        <f t="shared" si="32"/>
        <v>0</v>
      </c>
      <c r="M275" s="192">
        <v>416.3</v>
      </c>
      <c r="N275" s="192">
        <f t="shared" si="37"/>
        <v>1.7131687242798355</v>
      </c>
      <c r="O275" s="192"/>
      <c r="P275" s="192">
        <f t="shared" si="34"/>
        <v>0</v>
      </c>
      <c r="Q275" s="192"/>
      <c r="R275" s="19">
        <f t="shared" si="35"/>
        <v>0</v>
      </c>
      <c r="S275" s="192">
        <f t="shared" si="36"/>
        <v>0</v>
      </c>
      <c r="T275" s="20">
        <v>2</v>
      </c>
      <c r="U275" s="20"/>
      <c r="V275" s="19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95">
        <v>300333</v>
      </c>
      <c r="B276" s="190" t="s">
        <v>67</v>
      </c>
      <c r="C276" s="237" t="s">
        <v>86</v>
      </c>
      <c r="D276" s="238"/>
      <c r="E276" s="194" t="s">
        <v>84</v>
      </c>
      <c r="F276" s="196"/>
      <c r="G276" s="192"/>
      <c r="H276" s="192"/>
      <c r="I276" s="192"/>
      <c r="J276" s="192"/>
      <c r="K276" s="192">
        <f t="shared" si="31"/>
        <v>0</v>
      </c>
      <c r="L276" s="192">
        <f t="shared" si="32"/>
        <v>0</v>
      </c>
      <c r="M276" s="192">
        <v>416.3</v>
      </c>
      <c r="N276" s="192">
        <f t="shared" si="37"/>
        <v>1.7131687242798355</v>
      </c>
      <c r="O276" s="192"/>
      <c r="P276" s="192">
        <f t="shared" si="34"/>
        <v>0</v>
      </c>
      <c r="Q276" s="192"/>
      <c r="R276" s="19">
        <f t="shared" si="35"/>
        <v>0</v>
      </c>
      <c r="S276" s="192">
        <f t="shared" si="36"/>
        <v>0</v>
      </c>
      <c r="T276" s="20">
        <v>2</v>
      </c>
      <c r="U276" s="20"/>
      <c r="V276" s="19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95">
        <v>300334</v>
      </c>
      <c r="B277" s="190" t="s">
        <v>67</v>
      </c>
      <c r="C277" s="237" t="s">
        <v>86</v>
      </c>
      <c r="D277" s="238"/>
      <c r="E277" s="194" t="s">
        <v>85</v>
      </c>
      <c r="F277" s="196"/>
      <c r="G277" s="192"/>
      <c r="H277" s="192"/>
      <c r="I277" s="192"/>
      <c r="J277" s="192"/>
      <c r="K277" s="192">
        <f t="shared" si="31"/>
        <v>0</v>
      </c>
      <c r="L277" s="192">
        <f t="shared" si="32"/>
        <v>0</v>
      </c>
      <c r="M277" s="192">
        <v>416.3</v>
      </c>
      <c r="N277" s="192">
        <f t="shared" si="37"/>
        <v>1.7131687242798355</v>
      </c>
      <c r="O277" s="192"/>
      <c r="P277" s="192">
        <f t="shared" si="34"/>
        <v>0</v>
      </c>
      <c r="Q277" s="192"/>
      <c r="R277" s="19">
        <f t="shared" si="35"/>
        <v>0</v>
      </c>
      <c r="S277" s="192">
        <f t="shared" si="36"/>
        <v>0</v>
      </c>
      <c r="T277" s="20">
        <v>2</v>
      </c>
      <c r="U277" s="20"/>
      <c r="V277" s="19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95">
        <v>300335</v>
      </c>
      <c r="B278" s="190" t="s">
        <v>67</v>
      </c>
      <c r="C278" s="237" t="s">
        <v>86</v>
      </c>
      <c r="D278" s="238"/>
      <c r="E278" s="194" t="s">
        <v>49</v>
      </c>
      <c r="F278" s="196"/>
      <c r="G278" s="192"/>
      <c r="H278" s="192"/>
      <c r="I278" s="192"/>
      <c r="J278" s="192"/>
      <c r="K278" s="192">
        <f t="shared" si="31"/>
        <v>0</v>
      </c>
      <c r="L278" s="192">
        <f t="shared" si="32"/>
        <v>0</v>
      </c>
      <c r="M278" s="192">
        <v>416.3</v>
      </c>
      <c r="N278" s="192">
        <f t="shared" si="37"/>
        <v>1.7131687242798355</v>
      </c>
      <c r="O278" s="192"/>
      <c r="P278" s="192">
        <f t="shared" si="34"/>
        <v>0</v>
      </c>
      <c r="Q278" s="192"/>
      <c r="R278" s="19">
        <f t="shared" si="35"/>
        <v>0</v>
      </c>
      <c r="S278" s="192">
        <f t="shared" si="36"/>
        <v>0</v>
      </c>
      <c r="T278" s="20">
        <v>2</v>
      </c>
      <c r="U278" s="20"/>
      <c r="V278" s="19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95">
        <v>300291</v>
      </c>
      <c r="B279" s="190" t="s">
        <v>87</v>
      </c>
      <c r="C279" s="226" t="s">
        <v>88</v>
      </c>
      <c r="D279" s="226" t="s">
        <v>89</v>
      </c>
      <c r="E279" s="194" t="s">
        <v>42</v>
      </c>
      <c r="F279" s="196"/>
      <c r="G279" s="192"/>
      <c r="H279" s="192"/>
      <c r="I279" s="192"/>
      <c r="J279" s="192"/>
      <c r="K279" s="192">
        <f t="shared" si="31"/>
        <v>0</v>
      </c>
      <c r="L279" s="192">
        <f t="shared" si="32"/>
        <v>0</v>
      </c>
      <c r="M279" s="192">
        <v>517.79999999999995</v>
      </c>
      <c r="N279" s="192">
        <f>+M279*1000/(66.6*1*110*60)*T279</f>
        <v>4.7119847119847122</v>
      </c>
      <c r="O279" s="192"/>
      <c r="P279" s="192">
        <f t="shared" si="34"/>
        <v>0</v>
      </c>
      <c r="Q279" s="192"/>
      <c r="R279" s="19">
        <f t="shared" si="35"/>
        <v>0</v>
      </c>
      <c r="S279" s="192">
        <f t="shared" si="36"/>
        <v>0</v>
      </c>
      <c r="T279" s="20">
        <v>4</v>
      </c>
      <c r="U279" s="20"/>
      <c r="V279" s="19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95">
        <v>300292</v>
      </c>
      <c r="B280" s="190" t="s">
        <v>87</v>
      </c>
      <c r="C280" s="226" t="s">
        <v>88</v>
      </c>
      <c r="D280" s="226" t="s">
        <v>89</v>
      </c>
      <c r="E280" s="194" t="s">
        <v>41</v>
      </c>
      <c r="F280" s="196"/>
      <c r="G280" s="192"/>
      <c r="H280" s="192"/>
      <c r="I280" s="192"/>
      <c r="J280" s="192"/>
      <c r="K280" s="192">
        <f t="shared" si="31"/>
        <v>0</v>
      </c>
      <c r="L280" s="192">
        <f t="shared" si="32"/>
        <v>0</v>
      </c>
      <c r="M280" s="192">
        <v>517.79999999999995</v>
      </c>
      <c r="N280" s="192">
        <f>+M280*1000/(66.8*1*110*60)*T280</f>
        <v>4.6978769733260748</v>
      </c>
      <c r="O280" s="192"/>
      <c r="P280" s="192">
        <f t="shared" si="34"/>
        <v>0</v>
      </c>
      <c r="Q280" s="192"/>
      <c r="R280" s="19">
        <f t="shared" si="35"/>
        <v>0</v>
      </c>
      <c r="S280" s="192">
        <f t="shared" si="36"/>
        <v>0</v>
      </c>
      <c r="T280" s="20">
        <v>4</v>
      </c>
      <c r="U280" s="20"/>
      <c r="V280" s="19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95">
        <v>300293</v>
      </c>
      <c r="B281" s="190" t="s">
        <v>87</v>
      </c>
      <c r="C281" s="226" t="s">
        <v>88</v>
      </c>
      <c r="D281" s="226" t="s">
        <v>89</v>
      </c>
      <c r="E281" s="194" t="s">
        <v>57</v>
      </c>
      <c r="F281" s="196"/>
      <c r="G281" s="192"/>
      <c r="H281" s="192"/>
      <c r="I281" s="192"/>
      <c r="J281" s="192"/>
      <c r="K281" s="192">
        <f t="shared" si="31"/>
        <v>0</v>
      </c>
      <c r="L281" s="192">
        <f t="shared" si="32"/>
        <v>0</v>
      </c>
      <c r="M281" s="192">
        <v>517.9</v>
      </c>
      <c r="N281" s="192">
        <f>+M281*1000/(67.1*1*110*60)*T281</f>
        <v>4.6777762724111467</v>
      </c>
      <c r="O281" s="192"/>
      <c r="P281" s="192">
        <f t="shared" si="34"/>
        <v>0</v>
      </c>
      <c r="Q281" s="192"/>
      <c r="R281" s="19">
        <f t="shared" si="35"/>
        <v>0</v>
      </c>
      <c r="S281" s="192">
        <f t="shared" si="36"/>
        <v>0</v>
      </c>
      <c r="T281" s="20">
        <v>4</v>
      </c>
      <c r="U281" s="20"/>
      <c r="V281" s="19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95">
        <v>300290</v>
      </c>
      <c r="B282" s="190" t="s">
        <v>87</v>
      </c>
      <c r="C282" s="226" t="s">
        <v>88</v>
      </c>
      <c r="D282" s="226" t="s">
        <v>89</v>
      </c>
      <c r="E282" s="194" t="s">
        <v>35</v>
      </c>
      <c r="F282" s="196"/>
      <c r="G282" s="192"/>
      <c r="H282" s="192"/>
      <c r="I282" s="192"/>
      <c r="J282" s="192"/>
      <c r="K282" s="192">
        <f t="shared" si="31"/>
        <v>0</v>
      </c>
      <c r="L282" s="192">
        <f t="shared" si="32"/>
        <v>0</v>
      </c>
      <c r="M282" s="192">
        <v>520</v>
      </c>
      <c r="N282" s="192">
        <f>+M282*1000/(67.5*1*110*60)*T282</f>
        <v>4.6689113355780023</v>
      </c>
      <c r="O282" s="192"/>
      <c r="P282" s="192">
        <f t="shared" si="34"/>
        <v>0</v>
      </c>
      <c r="Q282" s="192"/>
      <c r="R282" s="19">
        <f t="shared" si="35"/>
        <v>0</v>
      </c>
      <c r="S282" s="192">
        <f t="shared" si="36"/>
        <v>0</v>
      </c>
      <c r="T282" s="20">
        <v>4</v>
      </c>
      <c r="U282" s="20"/>
      <c r="V282" s="19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95">
        <v>300389</v>
      </c>
      <c r="B283" s="190" t="s">
        <v>87</v>
      </c>
      <c r="C283" s="237" t="s">
        <v>90</v>
      </c>
      <c r="D283" s="238"/>
      <c r="E283" s="194" t="s">
        <v>35</v>
      </c>
      <c r="F283" s="196"/>
      <c r="G283" s="192"/>
      <c r="H283" s="192"/>
      <c r="I283" s="192"/>
      <c r="J283" s="192"/>
      <c r="K283" s="192">
        <f t="shared" si="31"/>
        <v>0</v>
      </c>
      <c r="L283" s="192">
        <f t="shared" si="32"/>
        <v>0</v>
      </c>
      <c r="M283" s="192">
        <v>429.4</v>
      </c>
      <c r="N283" s="192">
        <f>+M283*1000/(47*1*110*60)*T283</f>
        <v>5.5370728562217923</v>
      </c>
      <c r="O283" s="192"/>
      <c r="P283" s="192">
        <f t="shared" si="34"/>
        <v>0</v>
      </c>
      <c r="Q283" s="192"/>
      <c r="R283" s="19">
        <f t="shared" si="35"/>
        <v>0</v>
      </c>
      <c r="S283" s="192">
        <f t="shared" si="36"/>
        <v>0</v>
      </c>
      <c r="T283" s="20">
        <v>4</v>
      </c>
      <c r="U283" s="20"/>
      <c r="V283" s="19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95">
        <v>300058</v>
      </c>
      <c r="B284" s="190" t="s">
        <v>87</v>
      </c>
      <c r="C284" s="226" t="s">
        <v>91</v>
      </c>
      <c r="D284" s="226" t="s">
        <v>89</v>
      </c>
      <c r="E284" s="194" t="s">
        <v>42</v>
      </c>
      <c r="F284" s="196"/>
      <c r="G284" s="192"/>
      <c r="H284" s="192"/>
      <c r="I284" s="192"/>
      <c r="J284" s="192"/>
      <c r="K284" s="192">
        <f t="shared" si="31"/>
        <v>0</v>
      </c>
      <c r="L284" s="192">
        <f t="shared" si="32"/>
        <v>0</v>
      </c>
      <c r="M284" s="192">
        <v>419.2</v>
      </c>
      <c r="N284" s="192">
        <f>+M284*1000/(51.5*1*110*60)*T284</f>
        <v>4.9332156516622536</v>
      </c>
      <c r="O284" s="192"/>
      <c r="P284" s="192">
        <f t="shared" si="34"/>
        <v>0</v>
      </c>
      <c r="Q284" s="192"/>
      <c r="R284" s="19">
        <f t="shared" si="35"/>
        <v>0</v>
      </c>
      <c r="S284" s="192">
        <f t="shared" si="36"/>
        <v>0</v>
      </c>
      <c r="T284" s="20">
        <v>4</v>
      </c>
      <c r="U284" s="20"/>
      <c r="V284" s="19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95">
        <v>300061</v>
      </c>
      <c r="B285" s="190" t="s">
        <v>87</v>
      </c>
      <c r="C285" s="226" t="s">
        <v>93</v>
      </c>
      <c r="D285" s="226" t="s">
        <v>94</v>
      </c>
      <c r="E285" s="194" t="s">
        <v>41</v>
      </c>
      <c r="F285" s="196"/>
      <c r="G285" s="192"/>
      <c r="H285" s="192"/>
      <c r="I285" s="192"/>
      <c r="J285" s="192"/>
      <c r="K285" s="192">
        <f t="shared" si="31"/>
        <v>0</v>
      </c>
      <c r="L285" s="192">
        <f t="shared" si="32"/>
        <v>0</v>
      </c>
      <c r="M285" s="192">
        <v>418.4</v>
      </c>
      <c r="N285" s="192">
        <f>+M285*1000/(51*1*110*60)*T285</f>
        <v>4.9720736779560308</v>
      </c>
      <c r="O285" s="192"/>
      <c r="P285" s="192">
        <f t="shared" si="34"/>
        <v>0</v>
      </c>
      <c r="Q285" s="192"/>
      <c r="R285" s="19">
        <f t="shared" si="35"/>
        <v>0</v>
      </c>
      <c r="S285" s="192">
        <f t="shared" si="36"/>
        <v>0</v>
      </c>
      <c r="T285" s="20">
        <v>4</v>
      </c>
      <c r="U285" s="20"/>
      <c r="V285" s="19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95">
        <v>300064</v>
      </c>
      <c r="B286" s="190">
        <v>5002</v>
      </c>
      <c r="C286" s="226" t="s">
        <v>95</v>
      </c>
      <c r="D286" s="226" t="s">
        <v>96</v>
      </c>
      <c r="E286" s="194" t="s">
        <v>35</v>
      </c>
      <c r="F286" s="196"/>
      <c r="G286" s="192"/>
      <c r="H286" s="192"/>
      <c r="I286" s="192"/>
      <c r="J286" s="192"/>
      <c r="K286" s="192">
        <f t="shared" ref="K286:K362" si="38">G286*M286</f>
        <v>0</v>
      </c>
      <c r="L286" s="192">
        <f t="shared" ref="L286:L362" si="39">I286*M286</f>
        <v>0</v>
      </c>
      <c r="M286" s="192">
        <v>419.2</v>
      </c>
      <c r="N286" s="192">
        <f>+M286*1000/(51.9*1*110*60)*T286</f>
        <v>4.8951947217843168</v>
      </c>
      <c r="O286" s="192"/>
      <c r="P286" s="192">
        <f t="shared" ref="P286:P362" si="40">N286*I286+O286*U286</f>
        <v>0</v>
      </c>
      <c r="Q286" s="192"/>
      <c r="R286" s="19">
        <f t="shared" ref="R286:R362" si="41">Q286*U286</f>
        <v>0</v>
      </c>
      <c r="S286" s="192">
        <f t="shared" ref="S286:S362" si="42">R286-P286</f>
        <v>0</v>
      </c>
      <c r="T286" s="20">
        <v>4</v>
      </c>
      <c r="U286" s="20"/>
      <c r="V286" s="19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95">
        <v>300060</v>
      </c>
      <c r="B287" s="190" t="s">
        <v>87</v>
      </c>
      <c r="C287" s="226" t="s">
        <v>93</v>
      </c>
      <c r="D287" s="226" t="s">
        <v>97</v>
      </c>
      <c r="E287" s="194" t="s">
        <v>57</v>
      </c>
      <c r="F287" s="196"/>
      <c r="G287" s="192"/>
      <c r="H287" s="192"/>
      <c r="I287" s="192"/>
      <c r="J287" s="192"/>
      <c r="K287" s="192">
        <f t="shared" si="38"/>
        <v>0</v>
      </c>
      <c r="L287" s="192">
        <f t="shared" si="39"/>
        <v>0</v>
      </c>
      <c r="M287" s="192">
        <v>416.9</v>
      </c>
      <c r="N287" s="192">
        <f>+M287*1000/(51*1*110*60)*T287</f>
        <v>4.9542483660130721</v>
      </c>
      <c r="O287" s="192"/>
      <c r="P287" s="192">
        <f t="shared" si="40"/>
        <v>0</v>
      </c>
      <c r="Q287" s="192"/>
      <c r="R287" s="19">
        <f t="shared" si="41"/>
        <v>0</v>
      </c>
      <c r="S287" s="192">
        <f t="shared" si="42"/>
        <v>0</v>
      </c>
      <c r="T287" s="20">
        <v>4</v>
      </c>
      <c r="U287" s="20"/>
      <c r="V287" s="19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95">
        <v>300068</v>
      </c>
      <c r="B288" s="190" t="s">
        <v>87</v>
      </c>
      <c r="C288" s="226" t="s">
        <v>98</v>
      </c>
      <c r="D288" s="226" t="s">
        <v>99</v>
      </c>
      <c r="E288" s="194" t="s">
        <v>37</v>
      </c>
      <c r="F288" s="196"/>
      <c r="G288" s="192"/>
      <c r="H288" s="192"/>
      <c r="I288" s="192"/>
      <c r="J288" s="192"/>
      <c r="K288" s="192">
        <f t="shared" si="38"/>
        <v>0</v>
      </c>
      <c r="L288" s="192">
        <f t="shared" si="39"/>
        <v>0</v>
      </c>
      <c r="M288" s="192">
        <v>438.4</v>
      </c>
      <c r="N288" s="192">
        <f>+M288*1000/(50*1*120*60)*T288</f>
        <v>4.8711111111111114</v>
      </c>
      <c r="O288" s="192"/>
      <c r="P288" s="192">
        <f t="shared" si="40"/>
        <v>0</v>
      </c>
      <c r="Q288" s="192"/>
      <c r="R288" s="19">
        <f t="shared" si="41"/>
        <v>0</v>
      </c>
      <c r="S288" s="192">
        <f t="shared" si="42"/>
        <v>0</v>
      </c>
      <c r="T288" s="20">
        <v>4</v>
      </c>
      <c r="U288" s="20"/>
      <c r="V288" s="19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95">
        <v>300065</v>
      </c>
      <c r="B289" s="190" t="s">
        <v>87</v>
      </c>
      <c r="C289" s="226" t="s">
        <v>98</v>
      </c>
      <c r="D289" s="226" t="s">
        <v>99</v>
      </c>
      <c r="E289" s="194" t="s">
        <v>35</v>
      </c>
      <c r="F289" s="196"/>
      <c r="G289" s="192"/>
      <c r="H289" s="192"/>
      <c r="I289" s="192"/>
      <c r="J289" s="192"/>
      <c r="K289" s="192">
        <f t="shared" si="38"/>
        <v>0</v>
      </c>
      <c r="L289" s="192">
        <f t="shared" si="39"/>
        <v>0</v>
      </c>
      <c r="M289" s="192">
        <v>438.8</v>
      </c>
      <c r="N289" s="192">
        <f>+M289*1000/(50*1*120*60)*T289</f>
        <v>4.8755555555555556</v>
      </c>
      <c r="O289" s="192"/>
      <c r="P289" s="192">
        <f t="shared" si="40"/>
        <v>0</v>
      </c>
      <c r="Q289" s="192"/>
      <c r="R289" s="19">
        <f t="shared" si="41"/>
        <v>0</v>
      </c>
      <c r="S289" s="192">
        <f t="shared" si="42"/>
        <v>0</v>
      </c>
      <c r="T289" s="20">
        <v>4</v>
      </c>
      <c r="U289" s="195"/>
      <c r="V289" s="19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95">
        <v>300066</v>
      </c>
      <c r="B290" s="190" t="s">
        <v>87</v>
      </c>
      <c r="C290" s="226" t="s">
        <v>98</v>
      </c>
      <c r="D290" s="226" t="s">
        <v>99</v>
      </c>
      <c r="E290" s="194" t="s">
        <v>66</v>
      </c>
      <c r="F290" s="196"/>
      <c r="G290" s="192"/>
      <c r="H290" s="192"/>
      <c r="I290" s="192"/>
      <c r="J290" s="192"/>
      <c r="K290" s="192">
        <f t="shared" si="38"/>
        <v>0</v>
      </c>
      <c r="L290" s="192">
        <f t="shared" si="39"/>
        <v>0</v>
      </c>
      <c r="M290" s="192">
        <v>438.4</v>
      </c>
      <c r="N290" s="192">
        <f>+M290*1000/(50*1*120*60)*T290</f>
        <v>4.8711111111111114</v>
      </c>
      <c r="O290" s="192"/>
      <c r="P290" s="192">
        <f t="shared" si="40"/>
        <v>0</v>
      </c>
      <c r="Q290" s="192"/>
      <c r="R290" s="19">
        <f t="shared" si="41"/>
        <v>0</v>
      </c>
      <c r="S290" s="192">
        <f t="shared" si="42"/>
        <v>0</v>
      </c>
      <c r="T290" s="20">
        <v>4</v>
      </c>
      <c r="U290" s="195"/>
      <c r="V290" s="19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95">
        <v>300067</v>
      </c>
      <c r="B291" s="190" t="s">
        <v>87</v>
      </c>
      <c r="C291" s="226" t="s">
        <v>98</v>
      </c>
      <c r="D291" s="226" t="s">
        <v>99</v>
      </c>
      <c r="E291" s="194" t="s">
        <v>41</v>
      </c>
      <c r="F291" s="196"/>
      <c r="G291" s="192"/>
      <c r="H291" s="192"/>
      <c r="I291" s="192"/>
      <c r="J291" s="192"/>
      <c r="K291" s="192">
        <f t="shared" si="38"/>
        <v>0</v>
      </c>
      <c r="L291" s="192">
        <f t="shared" si="39"/>
        <v>0</v>
      </c>
      <c r="M291" s="192">
        <v>438.8</v>
      </c>
      <c r="N291" s="192">
        <f>+M291*1000/(50*1*120*60)*T291</f>
        <v>4.8755555555555556</v>
      </c>
      <c r="O291" s="192"/>
      <c r="P291" s="192">
        <f t="shared" si="40"/>
        <v>0</v>
      </c>
      <c r="Q291" s="192"/>
      <c r="R291" s="19">
        <f t="shared" si="41"/>
        <v>0</v>
      </c>
      <c r="S291" s="192">
        <f t="shared" si="42"/>
        <v>0</v>
      </c>
      <c r="T291" s="20">
        <v>4</v>
      </c>
      <c r="U291" s="20"/>
      <c r="V291" s="19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203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95">
        <v>300384</v>
      </c>
      <c r="B293" s="190" t="s">
        <v>87</v>
      </c>
      <c r="C293" s="226" t="s">
        <v>100</v>
      </c>
      <c r="D293" s="226" t="s">
        <v>101</v>
      </c>
      <c r="E293" s="194" t="s">
        <v>35</v>
      </c>
      <c r="F293" s="196"/>
      <c r="G293" s="192"/>
      <c r="H293" s="192"/>
      <c r="I293" s="192"/>
      <c r="J293" s="192"/>
      <c r="K293" s="192">
        <f t="shared" si="38"/>
        <v>0</v>
      </c>
      <c r="L293" s="192">
        <f t="shared" si="39"/>
        <v>0</v>
      </c>
      <c r="M293" s="192">
        <v>415.5</v>
      </c>
      <c r="N293" s="192">
        <f>+M293*1000/(51*1*110*60)*T293</f>
        <v>8.6408199643493759</v>
      </c>
      <c r="O293" s="192"/>
      <c r="P293" s="192">
        <f t="shared" si="40"/>
        <v>0</v>
      </c>
      <c r="Q293" s="192"/>
      <c r="R293" s="19">
        <f t="shared" si="41"/>
        <v>0</v>
      </c>
      <c r="S293" s="192">
        <f t="shared" si="42"/>
        <v>0</v>
      </c>
      <c r="T293" s="20">
        <v>7</v>
      </c>
      <c r="U293" s="20"/>
      <c r="V293" s="19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95">
        <v>300383</v>
      </c>
      <c r="B294" s="190" t="s">
        <v>87</v>
      </c>
      <c r="C294" s="226" t="s">
        <v>100</v>
      </c>
      <c r="D294" s="226" t="s">
        <v>102</v>
      </c>
      <c r="E294" s="194" t="s">
        <v>41</v>
      </c>
      <c r="F294" s="196"/>
      <c r="G294" s="192"/>
      <c r="H294" s="192"/>
      <c r="I294" s="192"/>
      <c r="J294" s="192"/>
      <c r="K294" s="192">
        <f t="shared" si="38"/>
        <v>0</v>
      </c>
      <c r="L294" s="192">
        <f t="shared" si="39"/>
        <v>0</v>
      </c>
      <c r="M294" s="192">
        <v>415.5</v>
      </c>
      <c r="N294" s="192">
        <f>+M294*1000/(51*1*110*60)*T294</f>
        <v>8.6408199643493759</v>
      </c>
      <c r="O294" s="192"/>
      <c r="P294" s="192">
        <f t="shared" si="40"/>
        <v>0</v>
      </c>
      <c r="Q294" s="192"/>
      <c r="R294" s="19">
        <f t="shared" si="41"/>
        <v>0</v>
      </c>
      <c r="S294" s="192">
        <f t="shared" si="42"/>
        <v>0</v>
      </c>
      <c r="T294" s="20">
        <v>7</v>
      </c>
      <c r="U294" s="20"/>
      <c r="V294" s="19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95">
        <v>300386</v>
      </c>
      <c r="B295" s="190" t="s">
        <v>87</v>
      </c>
      <c r="C295" s="226" t="s">
        <v>100</v>
      </c>
      <c r="D295" s="226" t="s">
        <v>103</v>
      </c>
      <c r="E295" s="194" t="s">
        <v>66</v>
      </c>
      <c r="F295" s="196"/>
      <c r="G295" s="192"/>
      <c r="H295" s="192"/>
      <c r="I295" s="192"/>
      <c r="J295" s="192"/>
      <c r="K295" s="192">
        <f t="shared" si="38"/>
        <v>0</v>
      </c>
      <c r="L295" s="192">
        <f t="shared" si="39"/>
        <v>0</v>
      </c>
      <c r="M295" s="192">
        <v>415.5</v>
      </c>
      <c r="N295" s="192">
        <f>+M295*1000/(51*1*110*60)*T295</f>
        <v>8.6408199643493759</v>
      </c>
      <c r="O295" s="192"/>
      <c r="P295" s="192">
        <f t="shared" si="40"/>
        <v>0</v>
      </c>
      <c r="Q295" s="192"/>
      <c r="R295" s="19">
        <f t="shared" si="41"/>
        <v>0</v>
      </c>
      <c r="S295" s="192">
        <f t="shared" si="42"/>
        <v>0</v>
      </c>
      <c r="T295" s="20">
        <v>7</v>
      </c>
      <c r="U295" s="20"/>
      <c r="V295" s="19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95">
        <v>300385</v>
      </c>
      <c r="B296" s="190" t="s">
        <v>87</v>
      </c>
      <c r="C296" s="226" t="s">
        <v>100</v>
      </c>
      <c r="D296" s="226" t="s">
        <v>104</v>
      </c>
      <c r="E296" s="194" t="s">
        <v>105</v>
      </c>
      <c r="F296" s="196"/>
      <c r="G296" s="192"/>
      <c r="H296" s="192"/>
      <c r="I296" s="192"/>
      <c r="J296" s="192"/>
      <c r="K296" s="192">
        <f t="shared" si="38"/>
        <v>0</v>
      </c>
      <c r="L296" s="192">
        <f t="shared" si="39"/>
        <v>0</v>
      </c>
      <c r="M296" s="192">
        <v>415.5</v>
      </c>
      <c r="N296" s="192">
        <f>+M296*1000/(51*1*110*60)*T296</f>
        <v>8.6408199643493759</v>
      </c>
      <c r="O296" s="192"/>
      <c r="P296" s="192">
        <f t="shared" si="40"/>
        <v>0</v>
      </c>
      <c r="Q296" s="192"/>
      <c r="R296" s="19">
        <f t="shared" si="41"/>
        <v>0</v>
      </c>
      <c r="S296" s="192">
        <f t="shared" si="42"/>
        <v>0</v>
      </c>
      <c r="T296" s="20">
        <v>7</v>
      </c>
      <c r="U296" s="20"/>
      <c r="V296" s="19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95">
        <v>300352</v>
      </c>
      <c r="B297" s="190" t="s">
        <v>87</v>
      </c>
      <c r="C297" s="226" t="s">
        <v>106</v>
      </c>
      <c r="D297" s="226" t="s">
        <v>101</v>
      </c>
      <c r="E297" s="194" t="s">
        <v>35</v>
      </c>
      <c r="F297" s="196"/>
      <c r="G297" s="192"/>
      <c r="H297" s="192"/>
      <c r="I297" s="192"/>
      <c r="J297" s="192"/>
      <c r="K297" s="192">
        <f t="shared" si="38"/>
        <v>0</v>
      </c>
      <c r="L297" s="192">
        <f t="shared" si="39"/>
        <v>0</v>
      </c>
      <c r="M297" s="192">
        <v>515.9</v>
      </c>
      <c r="N297" s="192">
        <f>+M297*1000/(80*1*110*60)*T297</f>
        <v>6.8395833333333336</v>
      </c>
      <c r="O297" s="192"/>
      <c r="P297" s="192">
        <f t="shared" si="40"/>
        <v>0</v>
      </c>
      <c r="Q297" s="192"/>
      <c r="R297" s="19">
        <f t="shared" si="41"/>
        <v>0</v>
      </c>
      <c r="S297" s="192">
        <f t="shared" si="42"/>
        <v>0</v>
      </c>
      <c r="T297" s="20">
        <v>7</v>
      </c>
      <c r="U297" s="20"/>
      <c r="V297" s="19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95">
        <v>300353</v>
      </c>
      <c r="B298" s="190" t="s">
        <v>87</v>
      </c>
      <c r="C298" s="226" t="s">
        <v>106</v>
      </c>
      <c r="D298" s="226" t="s">
        <v>101</v>
      </c>
      <c r="E298" s="194" t="s">
        <v>105</v>
      </c>
      <c r="F298" s="196"/>
      <c r="G298" s="192"/>
      <c r="H298" s="192"/>
      <c r="I298" s="192"/>
      <c r="J298" s="192"/>
      <c r="K298" s="192">
        <f t="shared" si="38"/>
        <v>0</v>
      </c>
      <c r="L298" s="192">
        <f t="shared" si="39"/>
        <v>0</v>
      </c>
      <c r="M298" s="192">
        <v>515.9</v>
      </c>
      <c r="N298" s="192">
        <f>+M298*1000/(80*1*110*60)*T298</f>
        <v>6.8395833333333336</v>
      </c>
      <c r="O298" s="192"/>
      <c r="P298" s="192">
        <f t="shared" si="40"/>
        <v>0</v>
      </c>
      <c r="Q298" s="192"/>
      <c r="R298" s="19">
        <f t="shared" si="41"/>
        <v>0</v>
      </c>
      <c r="S298" s="192">
        <f t="shared" si="42"/>
        <v>0</v>
      </c>
      <c r="T298" s="20">
        <v>7</v>
      </c>
      <c r="U298" s="20"/>
      <c r="V298" s="19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95">
        <v>300351</v>
      </c>
      <c r="B299" s="190" t="s">
        <v>87</v>
      </c>
      <c r="C299" s="226" t="s">
        <v>106</v>
      </c>
      <c r="D299" s="226" t="s">
        <v>101</v>
      </c>
      <c r="E299" s="194" t="s">
        <v>41</v>
      </c>
      <c r="F299" s="196"/>
      <c r="G299" s="192"/>
      <c r="H299" s="192"/>
      <c r="I299" s="192"/>
      <c r="J299" s="192"/>
      <c r="K299" s="192">
        <f t="shared" si="38"/>
        <v>0</v>
      </c>
      <c r="L299" s="192">
        <f t="shared" si="39"/>
        <v>0</v>
      </c>
      <c r="M299" s="192">
        <v>515.9</v>
      </c>
      <c r="N299" s="192">
        <f>+M299*1000/(80*1*110*60)*T299</f>
        <v>6.8395833333333336</v>
      </c>
      <c r="O299" s="192"/>
      <c r="P299" s="192">
        <f t="shared" si="40"/>
        <v>0</v>
      </c>
      <c r="Q299" s="192"/>
      <c r="R299" s="19">
        <f t="shared" si="41"/>
        <v>0</v>
      </c>
      <c r="S299" s="192">
        <f t="shared" si="42"/>
        <v>0</v>
      </c>
      <c r="T299" s="20">
        <v>7</v>
      </c>
      <c r="U299" s="20"/>
      <c r="V299" s="19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95">
        <v>300354</v>
      </c>
      <c r="B300" s="190" t="s">
        <v>87</v>
      </c>
      <c r="C300" s="226" t="s">
        <v>106</v>
      </c>
      <c r="D300" s="226" t="s">
        <v>101</v>
      </c>
      <c r="E300" s="194" t="s">
        <v>66</v>
      </c>
      <c r="F300" s="196"/>
      <c r="G300" s="192"/>
      <c r="H300" s="192"/>
      <c r="I300" s="192"/>
      <c r="J300" s="192"/>
      <c r="K300" s="192">
        <f t="shared" si="38"/>
        <v>0</v>
      </c>
      <c r="L300" s="192">
        <f t="shared" si="39"/>
        <v>0</v>
      </c>
      <c r="M300" s="192">
        <v>515.9</v>
      </c>
      <c r="N300" s="192">
        <f>+M300*1000/(80*1*110*60)*T300</f>
        <v>6.8395833333333336</v>
      </c>
      <c r="O300" s="192"/>
      <c r="P300" s="192">
        <f t="shared" si="40"/>
        <v>0</v>
      </c>
      <c r="Q300" s="192"/>
      <c r="R300" s="19">
        <f t="shared" si="41"/>
        <v>0</v>
      </c>
      <c r="S300" s="192">
        <f t="shared" si="42"/>
        <v>0</v>
      </c>
      <c r="T300" s="20">
        <v>7</v>
      </c>
      <c r="U300" s="20"/>
      <c r="V300" s="19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95">
        <v>300250</v>
      </c>
      <c r="B301" s="190" t="s">
        <v>87</v>
      </c>
      <c r="C301" s="226" t="s">
        <v>107</v>
      </c>
      <c r="D301" s="226" t="s">
        <v>101</v>
      </c>
      <c r="E301" s="194" t="s">
        <v>35</v>
      </c>
      <c r="F301" s="196"/>
      <c r="G301" s="192"/>
      <c r="H301" s="192"/>
      <c r="I301" s="192"/>
      <c r="J301" s="192"/>
      <c r="K301" s="192">
        <f t="shared" si="38"/>
        <v>0</v>
      </c>
      <c r="L301" s="192">
        <f t="shared" si="39"/>
        <v>0</v>
      </c>
      <c r="M301" s="192">
        <v>412.5</v>
      </c>
      <c r="N301" s="192">
        <f>+M301*1000/(84*1*110*60)*T301</f>
        <v>5.2083333333333339</v>
      </c>
      <c r="O301" s="192"/>
      <c r="P301" s="192">
        <f t="shared" si="40"/>
        <v>0</v>
      </c>
      <c r="Q301" s="192"/>
      <c r="R301" s="19">
        <f t="shared" si="41"/>
        <v>0</v>
      </c>
      <c r="S301" s="192">
        <f t="shared" si="42"/>
        <v>0</v>
      </c>
      <c r="T301" s="20">
        <v>7</v>
      </c>
      <c r="U301" s="20"/>
      <c r="V301" s="19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95">
        <v>300251</v>
      </c>
      <c r="B302" s="190" t="s">
        <v>87</v>
      </c>
      <c r="C302" s="226" t="s">
        <v>107</v>
      </c>
      <c r="D302" s="226" t="s">
        <v>101</v>
      </c>
      <c r="E302" s="194" t="s">
        <v>105</v>
      </c>
      <c r="F302" s="196"/>
      <c r="G302" s="192"/>
      <c r="H302" s="192"/>
      <c r="I302" s="192"/>
      <c r="J302" s="192"/>
      <c r="K302" s="192">
        <f t="shared" si="38"/>
        <v>0</v>
      </c>
      <c r="L302" s="192">
        <f t="shared" si="39"/>
        <v>0</v>
      </c>
      <c r="M302" s="192">
        <v>412.5</v>
      </c>
      <c r="N302" s="192">
        <f>+M302*1000/(84*1*110*60)*T302</f>
        <v>5.2083333333333339</v>
      </c>
      <c r="O302" s="192"/>
      <c r="P302" s="192">
        <f t="shared" si="40"/>
        <v>0</v>
      </c>
      <c r="Q302" s="192"/>
      <c r="R302" s="19">
        <f t="shared" si="41"/>
        <v>0</v>
      </c>
      <c r="S302" s="192">
        <f t="shared" si="42"/>
        <v>0</v>
      </c>
      <c r="T302" s="20">
        <v>7</v>
      </c>
      <c r="U302" s="20"/>
      <c r="V302" s="19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95">
        <v>300254</v>
      </c>
      <c r="B303" s="190" t="s">
        <v>87</v>
      </c>
      <c r="C303" s="226" t="s">
        <v>107</v>
      </c>
      <c r="D303" s="226" t="s">
        <v>101</v>
      </c>
      <c r="E303" s="194" t="s">
        <v>41</v>
      </c>
      <c r="F303" s="196"/>
      <c r="G303" s="192"/>
      <c r="H303" s="192"/>
      <c r="I303" s="192"/>
      <c r="J303" s="192"/>
      <c r="K303" s="192">
        <f t="shared" si="38"/>
        <v>0</v>
      </c>
      <c r="L303" s="192">
        <f t="shared" si="39"/>
        <v>0</v>
      </c>
      <c r="M303" s="192">
        <v>412.5</v>
      </c>
      <c r="N303" s="192">
        <f>+M303*1000/(84*1*110*60)*T303</f>
        <v>5.2083333333333339</v>
      </c>
      <c r="O303" s="192"/>
      <c r="P303" s="192">
        <f t="shared" si="40"/>
        <v>0</v>
      </c>
      <c r="Q303" s="192"/>
      <c r="R303" s="19">
        <f t="shared" si="41"/>
        <v>0</v>
      </c>
      <c r="S303" s="192">
        <f t="shared" si="42"/>
        <v>0</v>
      </c>
      <c r="T303" s="20">
        <v>7</v>
      </c>
      <c r="U303" s="20"/>
      <c r="V303" s="19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95">
        <v>300253</v>
      </c>
      <c r="B304" s="190" t="s">
        <v>87</v>
      </c>
      <c r="C304" s="226" t="s">
        <v>107</v>
      </c>
      <c r="D304" s="226" t="s">
        <v>101</v>
      </c>
      <c r="E304" s="194" t="s">
        <v>66</v>
      </c>
      <c r="F304" s="196"/>
      <c r="G304" s="192"/>
      <c r="H304" s="192"/>
      <c r="I304" s="192"/>
      <c r="J304" s="192"/>
      <c r="K304" s="192">
        <f t="shared" si="38"/>
        <v>0</v>
      </c>
      <c r="L304" s="192">
        <f t="shared" si="39"/>
        <v>0</v>
      </c>
      <c r="M304" s="192">
        <v>412.5</v>
      </c>
      <c r="N304" s="192">
        <f>+M304*1000/(84*1*110*60)*T304</f>
        <v>5.2083333333333339</v>
      </c>
      <c r="O304" s="192"/>
      <c r="P304" s="192">
        <f t="shared" si="40"/>
        <v>0</v>
      </c>
      <c r="Q304" s="192"/>
      <c r="R304" s="19">
        <f t="shared" si="41"/>
        <v>0</v>
      </c>
      <c r="S304" s="192">
        <f t="shared" si="42"/>
        <v>0</v>
      </c>
      <c r="T304" s="20">
        <v>7</v>
      </c>
      <c r="U304" s="20"/>
      <c r="V304" s="19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95">
        <v>300255</v>
      </c>
      <c r="B305" s="190" t="s">
        <v>87</v>
      </c>
      <c r="C305" s="226" t="s">
        <v>107</v>
      </c>
      <c r="D305" s="226" t="s">
        <v>101</v>
      </c>
      <c r="E305" s="194" t="s">
        <v>108</v>
      </c>
      <c r="F305" s="196"/>
      <c r="G305" s="192"/>
      <c r="H305" s="192"/>
      <c r="I305" s="192"/>
      <c r="J305" s="192"/>
      <c r="K305" s="192">
        <f t="shared" si="38"/>
        <v>0</v>
      </c>
      <c r="L305" s="192">
        <f t="shared" si="39"/>
        <v>0</v>
      </c>
      <c r="M305" s="192">
        <v>412.5</v>
      </c>
      <c r="N305" s="192">
        <f>+M305*1000/(84*1*110*60)*T305</f>
        <v>5.2083333333333339</v>
      </c>
      <c r="O305" s="192"/>
      <c r="P305" s="192">
        <f t="shared" si="40"/>
        <v>0</v>
      </c>
      <c r="Q305" s="192"/>
      <c r="R305" s="19">
        <f t="shared" si="41"/>
        <v>0</v>
      </c>
      <c r="S305" s="192">
        <f t="shared" si="42"/>
        <v>0</v>
      </c>
      <c r="T305" s="20">
        <v>7</v>
      </c>
      <c r="U305" s="20"/>
      <c r="V305" s="19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95">
        <v>300392</v>
      </c>
      <c r="B306" s="190" t="s">
        <v>87</v>
      </c>
      <c r="C306" s="237" t="s">
        <v>109</v>
      </c>
      <c r="D306" s="238"/>
      <c r="E306" s="194" t="s">
        <v>105</v>
      </c>
      <c r="F306" s="195"/>
      <c r="G306" s="192"/>
      <c r="H306" s="192"/>
      <c r="I306" s="192"/>
      <c r="J306" s="192"/>
      <c r="K306" s="192">
        <f t="shared" si="38"/>
        <v>0</v>
      </c>
      <c r="L306" s="192">
        <f t="shared" si="39"/>
        <v>0</v>
      </c>
      <c r="M306" s="192">
        <v>523</v>
      </c>
      <c r="N306" s="192">
        <f>+M306*1000/(98*1*80*60)*T306</f>
        <v>7.7827380952380958</v>
      </c>
      <c r="O306" s="192"/>
      <c r="P306" s="192">
        <f t="shared" si="40"/>
        <v>0</v>
      </c>
      <c r="Q306" s="192"/>
      <c r="R306" s="19">
        <f t="shared" si="41"/>
        <v>0</v>
      </c>
      <c r="S306" s="192">
        <f t="shared" si="42"/>
        <v>0</v>
      </c>
      <c r="T306" s="20">
        <v>7</v>
      </c>
      <c r="U306" s="20"/>
      <c r="V306" s="19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95">
        <v>300088</v>
      </c>
      <c r="B307" s="190" t="s">
        <v>87</v>
      </c>
      <c r="C307" s="226" t="s">
        <v>110</v>
      </c>
      <c r="D307" s="226" t="s">
        <v>111</v>
      </c>
      <c r="E307" s="194" t="s">
        <v>39</v>
      </c>
      <c r="F307" s="196"/>
      <c r="G307" s="192"/>
      <c r="H307" s="192"/>
      <c r="I307" s="192"/>
      <c r="J307" s="192"/>
      <c r="K307" s="192">
        <f t="shared" si="38"/>
        <v>0</v>
      </c>
      <c r="L307" s="192">
        <f t="shared" si="39"/>
        <v>0</v>
      </c>
      <c r="M307" s="192">
        <v>617.79999999999995</v>
      </c>
      <c r="N307" s="192">
        <f>+M307*1000/(123*1*80*60)*T307</f>
        <v>3.1392276422764223</v>
      </c>
      <c r="O307" s="192"/>
      <c r="P307" s="192">
        <f t="shared" si="40"/>
        <v>0</v>
      </c>
      <c r="Q307" s="192"/>
      <c r="R307" s="19">
        <f t="shared" si="41"/>
        <v>0</v>
      </c>
      <c r="S307" s="192">
        <f t="shared" si="42"/>
        <v>0</v>
      </c>
      <c r="T307" s="20">
        <v>3</v>
      </c>
      <c r="U307" s="20"/>
      <c r="V307" s="19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95">
        <v>300089</v>
      </c>
      <c r="B308" s="190" t="s">
        <v>87</v>
      </c>
      <c r="C308" s="226" t="s">
        <v>110</v>
      </c>
      <c r="D308" s="226" t="s">
        <v>111</v>
      </c>
      <c r="E308" s="194" t="s">
        <v>42</v>
      </c>
      <c r="F308" s="196"/>
      <c r="G308" s="192"/>
      <c r="H308" s="192"/>
      <c r="I308" s="192"/>
      <c r="J308" s="192"/>
      <c r="K308" s="192">
        <f t="shared" si="38"/>
        <v>0</v>
      </c>
      <c r="L308" s="192">
        <f t="shared" si="39"/>
        <v>0</v>
      </c>
      <c r="M308" s="192">
        <v>618.6</v>
      </c>
      <c r="N308" s="192">
        <f>+M308*1000/(124*1*80*60)*T308</f>
        <v>3.117943548387097</v>
      </c>
      <c r="O308" s="192"/>
      <c r="P308" s="192">
        <f t="shared" si="40"/>
        <v>0</v>
      </c>
      <c r="Q308" s="192"/>
      <c r="R308" s="19">
        <f t="shared" si="41"/>
        <v>0</v>
      </c>
      <c r="S308" s="192">
        <f t="shared" si="42"/>
        <v>0</v>
      </c>
      <c r="T308" s="20">
        <v>3</v>
      </c>
      <c r="U308" s="20"/>
      <c r="V308" s="19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95">
        <v>300128</v>
      </c>
      <c r="B309" s="190" t="s">
        <v>87</v>
      </c>
      <c r="C309" s="226" t="s">
        <v>112</v>
      </c>
      <c r="D309" s="226" t="s">
        <v>113</v>
      </c>
      <c r="E309" s="194" t="s">
        <v>35</v>
      </c>
      <c r="F309" s="196"/>
      <c r="G309" s="192"/>
      <c r="H309" s="192"/>
      <c r="I309" s="192"/>
      <c r="J309" s="192"/>
      <c r="K309" s="192">
        <f t="shared" si="38"/>
        <v>0</v>
      </c>
      <c r="L309" s="192">
        <f t="shared" si="39"/>
        <v>0</v>
      </c>
      <c r="M309" s="192">
        <v>621.29999999999995</v>
      </c>
      <c r="N309" s="192">
        <f t="shared" ref="N309:N314" si="43">+M309*1000/(130.5*1*80*60)*T309</f>
        <v>3.9674329501915708</v>
      </c>
      <c r="O309" s="192"/>
      <c r="P309" s="192">
        <f t="shared" si="40"/>
        <v>0</v>
      </c>
      <c r="Q309" s="192"/>
      <c r="R309" s="19">
        <f t="shared" si="41"/>
        <v>0</v>
      </c>
      <c r="S309" s="192">
        <f t="shared" si="42"/>
        <v>0</v>
      </c>
      <c r="T309" s="20">
        <v>4</v>
      </c>
      <c r="U309" s="20"/>
      <c r="V309" s="19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95">
        <v>300129</v>
      </c>
      <c r="B310" s="190" t="s">
        <v>87</v>
      </c>
      <c r="C310" s="226" t="s">
        <v>112</v>
      </c>
      <c r="D310" s="226" t="s">
        <v>113</v>
      </c>
      <c r="E310" s="194" t="s">
        <v>41</v>
      </c>
      <c r="F310" s="196"/>
      <c r="G310" s="192"/>
      <c r="H310" s="192"/>
      <c r="I310" s="192"/>
      <c r="J310" s="192"/>
      <c r="K310" s="192">
        <f t="shared" si="38"/>
        <v>0</v>
      </c>
      <c r="L310" s="192">
        <f t="shared" si="39"/>
        <v>0</v>
      </c>
      <c r="M310" s="192">
        <v>621.29999999999995</v>
      </c>
      <c r="N310" s="192">
        <f t="shared" si="43"/>
        <v>3.9674329501915708</v>
      </c>
      <c r="O310" s="192"/>
      <c r="P310" s="192">
        <f t="shared" si="40"/>
        <v>0</v>
      </c>
      <c r="Q310" s="192"/>
      <c r="R310" s="19">
        <f t="shared" si="41"/>
        <v>0</v>
      </c>
      <c r="S310" s="192">
        <f t="shared" si="42"/>
        <v>0</v>
      </c>
      <c r="T310" s="20">
        <v>4</v>
      </c>
      <c r="U310" s="20"/>
      <c r="V310" s="19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95">
        <v>300130</v>
      </c>
      <c r="B311" s="190" t="s">
        <v>87</v>
      </c>
      <c r="C311" s="226" t="s">
        <v>112</v>
      </c>
      <c r="D311" s="226" t="s">
        <v>113</v>
      </c>
      <c r="E311" s="194" t="s">
        <v>37</v>
      </c>
      <c r="F311" s="196"/>
      <c r="G311" s="192"/>
      <c r="H311" s="192"/>
      <c r="I311" s="192"/>
      <c r="J311" s="192"/>
      <c r="K311" s="192">
        <f t="shared" si="38"/>
        <v>0</v>
      </c>
      <c r="L311" s="192">
        <f t="shared" si="39"/>
        <v>0</v>
      </c>
      <c r="M311" s="192">
        <v>621.29999999999995</v>
      </c>
      <c r="N311" s="192">
        <f t="shared" si="43"/>
        <v>3.9674329501915708</v>
      </c>
      <c r="O311" s="192"/>
      <c r="P311" s="192">
        <f t="shared" si="40"/>
        <v>0</v>
      </c>
      <c r="Q311" s="192"/>
      <c r="R311" s="19">
        <f t="shared" si="41"/>
        <v>0</v>
      </c>
      <c r="S311" s="192">
        <f t="shared" si="42"/>
        <v>0</v>
      </c>
      <c r="T311" s="20">
        <v>4</v>
      </c>
      <c r="U311" s="20"/>
      <c r="V311" s="19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95">
        <v>300423</v>
      </c>
      <c r="B312" s="190" t="s">
        <v>300</v>
      </c>
      <c r="C312" s="237" t="s">
        <v>296</v>
      </c>
      <c r="D312" s="238"/>
      <c r="E312" s="194" t="s">
        <v>297</v>
      </c>
      <c r="F312" s="13"/>
      <c r="G312" s="110"/>
      <c r="H312" s="110"/>
      <c r="I312" s="110"/>
      <c r="J312" s="110"/>
      <c r="K312" s="192">
        <f t="shared" si="38"/>
        <v>0</v>
      </c>
      <c r="L312" s="192">
        <f t="shared" si="39"/>
        <v>0</v>
      </c>
      <c r="M312" s="192">
        <v>524.1</v>
      </c>
      <c r="N312" s="192">
        <f t="shared" si="43"/>
        <v>3.3467432950191571</v>
      </c>
      <c r="O312" s="192"/>
      <c r="P312" s="192">
        <f t="shared" si="40"/>
        <v>0</v>
      </c>
      <c r="Q312" s="192"/>
      <c r="R312" s="19">
        <f t="shared" si="41"/>
        <v>0</v>
      </c>
      <c r="S312" s="192">
        <f t="shared" si="42"/>
        <v>0</v>
      </c>
      <c r="T312" s="20">
        <v>4</v>
      </c>
      <c r="U312" s="20"/>
      <c r="V312" s="19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95">
        <v>300424</v>
      </c>
      <c r="B313" s="190" t="s">
        <v>300</v>
      </c>
      <c r="C313" s="237" t="s">
        <v>296</v>
      </c>
      <c r="D313" s="238"/>
      <c r="E313" s="194" t="s">
        <v>298</v>
      </c>
      <c r="F313" s="13"/>
      <c r="G313" s="110"/>
      <c r="H313" s="110"/>
      <c r="I313" s="110"/>
      <c r="J313" s="110"/>
      <c r="K313" s="192">
        <f t="shared" si="38"/>
        <v>0</v>
      </c>
      <c r="L313" s="192">
        <f t="shared" si="39"/>
        <v>0</v>
      </c>
      <c r="M313" s="192">
        <v>524.1</v>
      </c>
      <c r="N313" s="192">
        <f t="shared" si="43"/>
        <v>3.3467432950191571</v>
      </c>
      <c r="O313" s="192"/>
      <c r="P313" s="192">
        <f t="shared" si="40"/>
        <v>0</v>
      </c>
      <c r="Q313" s="192"/>
      <c r="R313" s="19">
        <f t="shared" si="41"/>
        <v>0</v>
      </c>
      <c r="S313" s="192">
        <f t="shared" si="42"/>
        <v>0</v>
      </c>
      <c r="T313" s="20">
        <v>4</v>
      </c>
      <c r="U313" s="20"/>
      <c r="V313" s="19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95">
        <v>300425</v>
      </c>
      <c r="B314" s="190" t="s">
        <v>300</v>
      </c>
      <c r="C314" s="237" t="s">
        <v>296</v>
      </c>
      <c r="D314" s="238"/>
      <c r="E314" s="194" t="s">
        <v>299</v>
      </c>
      <c r="F314" s="13"/>
      <c r="G314" s="110"/>
      <c r="H314" s="110"/>
      <c r="I314" s="110"/>
      <c r="J314" s="110"/>
      <c r="K314" s="192">
        <f t="shared" si="38"/>
        <v>0</v>
      </c>
      <c r="L314" s="192">
        <f t="shared" si="39"/>
        <v>0</v>
      </c>
      <c r="M314" s="192">
        <v>524.1</v>
      </c>
      <c r="N314" s="192">
        <f t="shared" si="43"/>
        <v>3.3467432950191571</v>
      </c>
      <c r="O314" s="192"/>
      <c r="P314" s="192">
        <f t="shared" si="40"/>
        <v>0</v>
      </c>
      <c r="Q314" s="192"/>
      <c r="R314" s="19">
        <f t="shared" si="41"/>
        <v>0</v>
      </c>
      <c r="S314" s="192">
        <f t="shared" si="42"/>
        <v>0</v>
      </c>
      <c r="T314" s="20">
        <v>4</v>
      </c>
      <c r="U314" s="20"/>
      <c r="V314" s="19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95">
        <v>300390</v>
      </c>
      <c r="B315" s="190" t="s">
        <v>295</v>
      </c>
      <c r="C315" s="237" t="s">
        <v>114</v>
      </c>
      <c r="D315" s="238"/>
      <c r="E315" s="194" t="s">
        <v>115</v>
      </c>
      <c r="F315" s="196"/>
      <c r="G315" s="192"/>
      <c r="H315" s="192"/>
      <c r="I315" s="192"/>
      <c r="J315" s="192"/>
      <c r="K315" s="192">
        <f t="shared" si="38"/>
        <v>0</v>
      </c>
      <c r="L315" s="192">
        <f t="shared" si="39"/>
        <v>0</v>
      </c>
      <c r="M315" s="192">
        <v>417.4</v>
      </c>
      <c r="N315" s="192">
        <f>+M315*1000/(87*1*80*60)*T315</f>
        <v>3.9980842911877397</v>
      </c>
      <c r="O315" s="192"/>
      <c r="P315" s="192">
        <f t="shared" si="40"/>
        <v>0</v>
      </c>
      <c r="Q315" s="192"/>
      <c r="R315" s="19">
        <f t="shared" si="41"/>
        <v>0</v>
      </c>
      <c r="S315" s="192">
        <f t="shared" si="42"/>
        <v>0</v>
      </c>
      <c r="T315" s="20">
        <v>4</v>
      </c>
      <c r="U315" s="20"/>
      <c r="V315" s="19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95">
        <v>300391</v>
      </c>
      <c r="B316" s="190" t="s">
        <v>116</v>
      </c>
      <c r="C316" s="237" t="s">
        <v>114</v>
      </c>
      <c r="D316" s="238"/>
      <c r="E316" s="194" t="s">
        <v>117</v>
      </c>
      <c r="F316" s="196"/>
      <c r="G316" s="192"/>
      <c r="H316" s="192"/>
      <c r="I316" s="192"/>
      <c r="J316" s="192"/>
      <c r="K316" s="192">
        <f t="shared" si="38"/>
        <v>0</v>
      </c>
      <c r="L316" s="192">
        <f t="shared" si="39"/>
        <v>0</v>
      </c>
      <c r="M316" s="192">
        <v>417.4</v>
      </c>
      <c r="N316" s="192">
        <f>+M316*1000/(87*1*80*60)*T316</f>
        <v>3.9980842911877397</v>
      </c>
      <c r="O316" s="192"/>
      <c r="P316" s="192">
        <f t="shared" si="40"/>
        <v>0</v>
      </c>
      <c r="Q316" s="192"/>
      <c r="R316" s="19">
        <f t="shared" si="41"/>
        <v>0</v>
      </c>
      <c r="S316" s="192">
        <f t="shared" si="42"/>
        <v>0</v>
      </c>
      <c r="T316" s="20">
        <v>4</v>
      </c>
      <c r="U316" s="20"/>
      <c r="V316" s="19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90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90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90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95">
        <v>300074</v>
      </c>
      <c r="B320" s="190" t="s">
        <v>118</v>
      </c>
      <c r="C320" s="226" t="s">
        <v>119</v>
      </c>
      <c r="D320" s="226" t="s">
        <v>120</v>
      </c>
      <c r="E320" s="194" t="s">
        <v>54</v>
      </c>
      <c r="F320" s="196"/>
      <c r="G320" s="192"/>
      <c r="H320" s="192"/>
      <c r="I320" s="192"/>
      <c r="J320" s="192"/>
      <c r="K320" s="192">
        <f t="shared" si="38"/>
        <v>0</v>
      </c>
      <c r="L320" s="192">
        <f t="shared" si="39"/>
        <v>0</v>
      </c>
      <c r="M320" s="192">
        <v>290.8</v>
      </c>
      <c r="N320" s="192">
        <f>+M320*1000/(88*4*13*60)*T320</f>
        <v>3.1774475524475525</v>
      </c>
      <c r="O320" s="192"/>
      <c r="P320" s="192">
        <f t="shared" si="40"/>
        <v>0</v>
      </c>
      <c r="Q320" s="192"/>
      <c r="R320" s="19">
        <f t="shared" si="41"/>
        <v>0</v>
      </c>
      <c r="S320" s="192">
        <f t="shared" si="42"/>
        <v>0</v>
      </c>
      <c r="T320" s="20">
        <v>3</v>
      </c>
      <c r="U320" s="20"/>
      <c r="V320" s="19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95">
        <v>300076</v>
      </c>
      <c r="B321" s="190" t="s">
        <v>118</v>
      </c>
      <c r="C321" s="226" t="s">
        <v>119</v>
      </c>
      <c r="D321" s="226" t="s">
        <v>120</v>
      </c>
      <c r="E321" s="194" t="s">
        <v>35</v>
      </c>
      <c r="F321" s="196"/>
      <c r="G321" s="192"/>
      <c r="H321" s="192"/>
      <c r="I321" s="192"/>
      <c r="J321" s="192"/>
      <c r="K321" s="192">
        <f t="shared" si="38"/>
        <v>0</v>
      </c>
      <c r="L321" s="192">
        <f t="shared" si="39"/>
        <v>0</v>
      </c>
      <c r="M321" s="192">
        <v>303.10000000000002</v>
      </c>
      <c r="N321" s="192">
        <f>+M321*1000/(88*4*12*60)*T321</f>
        <v>4.7837752525252526</v>
      </c>
      <c r="O321" s="192"/>
      <c r="P321" s="192">
        <f t="shared" si="40"/>
        <v>0</v>
      </c>
      <c r="Q321" s="192"/>
      <c r="R321" s="19">
        <f t="shared" si="41"/>
        <v>0</v>
      </c>
      <c r="S321" s="192">
        <f t="shared" si="42"/>
        <v>0</v>
      </c>
      <c r="T321" s="20">
        <v>4</v>
      </c>
      <c r="U321" s="20"/>
      <c r="V321" s="19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95">
        <v>300096</v>
      </c>
      <c r="B322" s="203">
        <v>6502</v>
      </c>
      <c r="C322" s="239" t="s">
        <v>121</v>
      </c>
      <c r="D322" s="239" t="s">
        <v>122</v>
      </c>
      <c r="E322" s="42" t="s">
        <v>37</v>
      </c>
      <c r="F322" s="196"/>
      <c r="G322" s="192"/>
      <c r="H322" s="192"/>
      <c r="I322" s="192"/>
      <c r="J322" s="192"/>
      <c r="K322" s="192">
        <f t="shared" si="38"/>
        <v>0</v>
      </c>
      <c r="L322" s="192">
        <f t="shared" si="39"/>
        <v>0</v>
      </c>
      <c r="M322" s="192">
        <v>480.13</v>
      </c>
      <c r="N322" s="192">
        <f>+M322*1000/(126.5*4*12*60)*T322</f>
        <v>2.6357597716293371</v>
      </c>
      <c r="O322" s="192"/>
      <c r="P322" s="192">
        <f t="shared" si="40"/>
        <v>0</v>
      </c>
      <c r="Q322" s="192"/>
      <c r="R322" s="19">
        <f t="shared" si="41"/>
        <v>0</v>
      </c>
      <c r="S322" s="192">
        <f t="shared" si="42"/>
        <v>0</v>
      </c>
      <c r="T322" s="20">
        <v>2</v>
      </c>
      <c r="U322" s="20"/>
      <c r="V322" s="19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95"/>
      <c r="B323" s="203" t="s">
        <v>118</v>
      </c>
      <c r="C323" s="239" t="s">
        <v>121</v>
      </c>
      <c r="D323" s="239" t="s">
        <v>122</v>
      </c>
      <c r="E323" s="42" t="s">
        <v>35</v>
      </c>
      <c r="F323" s="196"/>
      <c r="G323" s="192"/>
      <c r="H323" s="192"/>
      <c r="I323" s="192"/>
      <c r="J323" s="192"/>
      <c r="K323" s="192">
        <f t="shared" si="38"/>
        <v>0</v>
      </c>
      <c r="L323" s="192">
        <f t="shared" si="39"/>
        <v>0</v>
      </c>
      <c r="M323" s="192">
        <v>480.13</v>
      </c>
      <c r="N323" s="192">
        <f>+M323*1000/(126.5*4*12*60)*T323</f>
        <v>2.6357597716293371</v>
      </c>
      <c r="O323" s="192"/>
      <c r="P323" s="192">
        <f t="shared" si="40"/>
        <v>0</v>
      </c>
      <c r="Q323" s="192"/>
      <c r="R323" s="19">
        <f t="shared" si="41"/>
        <v>0</v>
      </c>
      <c r="S323" s="192">
        <f t="shared" si="42"/>
        <v>0</v>
      </c>
      <c r="T323" s="20">
        <v>2</v>
      </c>
      <c r="U323" s="20"/>
      <c r="V323" s="19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95">
        <v>300097</v>
      </c>
      <c r="B324" s="203">
        <v>6502</v>
      </c>
      <c r="C324" s="239" t="s">
        <v>121</v>
      </c>
      <c r="D324" s="239" t="s">
        <v>122</v>
      </c>
      <c r="E324" s="42" t="s">
        <v>63</v>
      </c>
      <c r="F324" s="196"/>
      <c r="G324" s="192"/>
      <c r="H324" s="192"/>
      <c r="I324" s="192"/>
      <c r="J324" s="192"/>
      <c r="K324" s="192">
        <f t="shared" si="38"/>
        <v>0</v>
      </c>
      <c r="L324" s="192">
        <f t="shared" si="39"/>
        <v>0</v>
      </c>
      <c r="M324" s="192">
        <v>480.13</v>
      </c>
      <c r="N324" s="192">
        <f>+M324*1000/(126.5*4*12*60)*T324</f>
        <v>2.6357597716293371</v>
      </c>
      <c r="O324" s="192"/>
      <c r="P324" s="192">
        <f t="shared" si="40"/>
        <v>0</v>
      </c>
      <c r="Q324" s="192"/>
      <c r="R324" s="19">
        <f t="shared" si="41"/>
        <v>0</v>
      </c>
      <c r="S324" s="192">
        <f t="shared" si="42"/>
        <v>0</v>
      </c>
      <c r="T324" s="20">
        <v>2</v>
      </c>
      <c r="U324" s="20"/>
      <c r="V324" s="19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90">
        <v>300294</v>
      </c>
      <c r="B325" s="190" t="s">
        <v>118</v>
      </c>
      <c r="C325" s="226" t="s">
        <v>123</v>
      </c>
      <c r="D325" s="226"/>
      <c r="E325" s="194" t="s">
        <v>41</v>
      </c>
      <c r="F325" s="196"/>
      <c r="G325" s="192"/>
      <c r="H325" s="192"/>
      <c r="I325" s="192"/>
      <c r="J325" s="192"/>
      <c r="K325" s="192">
        <f t="shared" si="38"/>
        <v>0</v>
      </c>
      <c r="L325" s="192">
        <f t="shared" si="39"/>
        <v>0</v>
      </c>
      <c r="M325" s="192">
        <v>373.14</v>
      </c>
      <c r="N325" s="192">
        <f t="shared" ref="N325:N334" si="44">+M325*1000/(90*4*14*60)*T325</f>
        <v>3.7017857142857142</v>
      </c>
      <c r="O325" s="192"/>
      <c r="P325" s="192">
        <f t="shared" si="40"/>
        <v>0</v>
      </c>
      <c r="Q325" s="192"/>
      <c r="R325" s="19">
        <f t="shared" si="41"/>
        <v>0</v>
      </c>
      <c r="S325" s="192">
        <f t="shared" si="42"/>
        <v>0</v>
      </c>
      <c r="T325" s="20">
        <v>3</v>
      </c>
      <c r="U325" s="20"/>
      <c r="V325" s="19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90">
        <v>300295</v>
      </c>
      <c r="B326" s="190" t="s">
        <v>124</v>
      </c>
      <c r="C326" s="226" t="s">
        <v>125</v>
      </c>
      <c r="D326" s="226"/>
      <c r="E326" s="194" t="s">
        <v>126</v>
      </c>
      <c r="F326" s="196"/>
      <c r="G326" s="192"/>
      <c r="H326" s="192"/>
      <c r="I326" s="192"/>
      <c r="J326" s="192"/>
      <c r="K326" s="192">
        <f t="shared" si="38"/>
        <v>0</v>
      </c>
      <c r="L326" s="192">
        <f t="shared" si="39"/>
        <v>0</v>
      </c>
      <c r="M326" s="192">
        <v>373.14</v>
      </c>
      <c r="N326" s="192">
        <f t="shared" si="44"/>
        <v>3.7017857142857142</v>
      </c>
      <c r="O326" s="192"/>
      <c r="P326" s="192">
        <f t="shared" si="40"/>
        <v>0</v>
      </c>
      <c r="Q326" s="192"/>
      <c r="R326" s="19">
        <f t="shared" si="41"/>
        <v>0</v>
      </c>
      <c r="S326" s="192">
        <f t="shared" si="42"/>
        <v>0</v>
      </c>
      <c r="T326" s="20">
        <v>3</v>
      </c>
      <c r="U326" s="20"/>
      <c r="V326" s="19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90">
        <v>300258</v>
      </c>
      <c r="B327" s="190" t="s">
        <v>118</v>
      </c>
      <c r="C327" s="226" t="s">
        <v>123</v>
      </c>
      <c r="D327" s="226"/>
      <c r="E327" s="194" t="s">
        <v>42</v>
      </c>
      <c r="F327" s="196"/>
      <c r="G327" s="192"/>
      <c r="H327" s="192"/>
      <c r="I327" s="192"/>
      <c r="J327" s="192"/>
      <c r="K327" s="192">
        <f t="shared" si="38"/>
        <v>0</v>
      </c>
      <c r="L327" s="192">
        <f t="shared" si="39"/>
        <v>0</v>
      </c>
      <c r="M327" s="192">
        <v>373.14</v>
      </c>
      <c r="N327" s="192">
        <f t="shared" si="44"/>
        <v>3.7017857142857142</v>
      </c>
      <c r="O327" s="192"/>
      <c r="P327" s="192">
        <f t="shared" si="40"/>
        <v>0</v>
      </c>
      <c r="Q327" s="192"/>
      <c r="R327" s="19">
        <f t="shared" si="41"/>
        <v>0</v>
      </c>
      <c r="S327" s="192">
        <f t="shared" si="42"/>
        <v>0</v>
      </c>
      <c r="T327" s="20">
        <v>3</v>
      </c>
      <c r="U327" s="20"/>
      <c r="V327" s="19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90">
        <v>300256</v>
      </c>
      <c r="B328" s="190" t="s">
        <v>118</v>
      </c>
      <c r="C328" s="226" t="s">
        <v>123</v>
      </c>
      <c r="D328" s="226"/>
      <c r="E328" s="194" t="s">
        <v>74</v>
      </c>
      <c r="F328" s="196"/>
      <c r="G328" s="192"/>
      <c r="H328" s="192"/>
      <c r="I328" s="192"/>
      <c r="J328" s="192"/>
      <c r="K328" s="192">
        <f t="shared" si="38"/>
        <v>0</v>
      </c>
      <c r="L328" s="192">
        <f t="shared" si="39"/>
        <v>0</v>
      </c>
      <c r="M328" s="192">
        <v>373.14</v>
      </c>
      <c r="N328" s="192">
        <f t="shared" si="44"/>
        <v>3.7017857142857142</v>
      </c>
      <c r="O328" s="192"/>
      <c r="P328" s="192">
        <f t="shared" si="40"/>
        <v>0</v>
      </c>
      <c r="Q328" s="192"/>
      <c r="R328" s="19">
        <f t="shared" si="41"/>
        <v>0</v>
      </c>
      <c r="S328" s="192">
        <f t="shared" si="42"/>
        <v>0</v>
      </c>
      <c r="T328" s="20">
        <v>3</v>
      </c>
      <c r="U328" s="20"/>
      <c r="V328" s="19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90">
        <v>300259</v>
      </c>
      <c r="B329" s="190" t="s">
        <v>118</v>
      </c>
      <c r="C329" s="226" t="s">
        <v>123</v>
      </c>
      <c r="D329" s="226"/>
      <c r="E329" s="194" t="s">
        <v>40</v>
      </c>
      <c r="F329" s="196"/>
      <c r="G329" s="192"/>
      <c r="H329" s="192"/>
      <c r="I329" s="192"/>
      <c r="J329" s="192"/>
      <c r="K329" s="192">
        <f t="shared" si="38"/>
        <v>0</v>
      </c>
      <c r="L329" s="192">
        <f t="shared" si="39"/>
        <v>0</v>
      </c>
      <c r="M329" s="192">
        <v>373.14</v>
      </c>
      <c r="N329" s="192">
        <f t="shared" si="44"/>
        <v>3.7017857142857142</v>
      </c>
      <c r="O329" s="192"/>
      <c r="P329" s="192">
        <f t="shared" si="40"/>
        <v>0</v>
      </c>
      <c r="Q329" s="192"/>
      <c r="R329" s="19">
        <f t="shared" si="41"/>
        <v>0</v>
      </c>
      <c r="S329" s="192">
        <f t="shared" si="42"/>
        <v>0</v>
      </c>
      <c r="T329" s="20">
        <v>3</v>
      </c>
      <c r="U329" s="20"/>
      <c r="V329" s="19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90">
        <v>300345</v>
      </c>
      <c r="B330" s="190" t="s">
        <v>118</v>
      </c>
      <c r="C330" s="226" t="s">
        <v>127</v>
      </c>
      <c r="D330" s="226"/>
      <c r="E330" s="194" t="s">
        <v>74</v>
      </c>
      <c r="F330" s="196"/>
      <c r="G330" s="41"/>
      <c r="H330" s="41"/>
      <c r="I330" s="41"/>
      <c r="J330" s="41"/>
      <c r="K330" s="192">
        <f t="shared" si="38"/>
        <v>0</v>
      </c>
      <c r="L330" s="192">
        <f t="shared" si="39"/>
        <v>0</v>
      </c>
      <c r="M330" s="192">
        <v>373.14</v>
      </c>
      <c r="N330" s="192">
        <f t="shared" si="44"/>
        <v>3.7017857142857142</v>
      </c>
      <c r="O330" s="41"/>
      <c r="P330" s="192">
        <f t="shared" si="40"/>
        <v>0</v>
      </c>
      <c r="Q330" s="41"/>
      <c r="R330" s="19">
        <f t="shared" si="41"/>
        <v>0</v>
      </c>
      <c r="S330" s="192">
        <f t="shared" si="42"/>
        <v>0</v>
      </c>
      <c r="T330" s="20">
        <v>3</v>
      </c>
      <c r="U330" s="41"/>
      <c r="V330" s="19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90">
        <v>300346</v>
      </c>
      <c r="B331" s="190" t="s">
        <v>118</v>
      </c>
      <c r="C331" s="226" t="s">
        <v>127</v>
      </c>
      <c r="D331" s="226"/>
      <c r="E331" s="194" t="s">
        <v>42</v>
      </c>
      <c r="F331" s="196"/>
      <c r="G331" s="41"/>
      <c r="H331" s="41"/>
      <c r="I331" s="41"/>
      <c r="J331" s="41"/>
      <c r="K331" s="192">
        <f t="shared" si="38"/>
        <v>0</v>
      </c>
      <c r="L331" s="192">
        <f t="shared" si="39"/>
        <v>0</v>
      </c>
      <c r="M331" s="192">
        <v>373.14</v>
      </c>
      <c r="N331" s="192">
        <f t="shared" si="44"/>
        <v>3.7017857142857142</v>
      </c>
      <c r="O331" s="41"/>
      <c r="P331" s="192">
        <f t="shared" si="40"/>
        <v>0</v>
      </c>
      <c r="Q331" s="41"/>
      <c r="R331" s="19">
        <f t="shared" si="41"/>
        <v>0</v>
      </c>
      <c r="S331" s="192">
        <f t="shared" si="42"/>
        <v>0</v>
      </c>
      <c r="T331" s="20">
        <v>3</v>
      </c>
      <c r="U331" s="41"/>
      <c r="V331" s="19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90">
        <v>300347</v>
      </c>
      <c r="B332" s="190" t="s">
        <v>118</v>
      </c>
      <c r="C332" s="226" t="s">
        <v>127</v>
      </c>
      <c r="D332" s="226"/>
      <c r="E332" s="194" t="s">
        <v>41</v>
      </c>
      <c r="F332" s="196"/>
      <c r="G332" s="41"/>
      <c r="H332" s="41"/>
      <c r="I332" s="41"/>
      <c r="J332" s="41"/>
      <c r="K332" s="192">
        <f t="shared" si="38"/>
        <v>0</v>
      </c>
      <c r="L332" s="192">
        <f t="shared" si="39"/>
        <v>0</v>
      </c>
      <c r="M332" s="192">
        <v>373.14</v>
      </c>
      <c r="N332" s="192">
        <f t="shared" si="44"/>
        <v>3.7017857142857142</v>
      </c>
      <c r="O332" s="41"/>
      <c r="P332" s="192">
        <f t="shared" si="40"/>
        <v>0</v>
      </c>
      <c r="Q332" s="41"/>
      <c r="R332" s="19">
        <f t="shared" si="41"/>
        <v>0</v>
      </c>
      <c r="S332" s="192">
        <f t="shared" si="42"/>
        <v>0</v>
      </c>
      <c r="T332" s="20">
        <v>3</v>
      </c>
      <c r="U332" s="41"/>
      <c r="V332" s="19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90">
        <v>300348</v>
      </c>
      <c r="B333" s="190" t="s">
        <v>118</v>
      </c>
      <c r="C333" s="226" t="s">
        <v>127</v>
      </c>
      <c r="D333" s="226"/>
      <c r="E333" s="194" t="s">
        <v>126</v>
      </c>
      <c r="F333" s="196"/>
      <c r="G333" s="41"/>
      <c r="H333" s="41"/>
      <c r="I333" s="41"/>
      <c r="J333" s="41"/>
      <c r="K333" s="192">
        <f t="shared" si="38"/>
        <v>0</v>
      </c>
      <c r="L333" s="192">
        <f t="shared" si="39"/>
        <v>0</v>
      </c>
      <c r="M333" s="192">
        <v>373.14</v>
      </c>
      <c r="N333" s="192">
        <f t="shared" si="44"/>
        <v>3.7017857142857142</v>
      </c>
      <c r="O333" s="41"/>
      <c r="P333" s="192">
        <f t="shared" si="40"/>
        <v>0</v>
      </c>
      <c r="Q333" s="41"/>
      <c r="R333" s="19">
        <f t="shared" si="41"/>
        <v>0</v>
      </c>
      <c r="S333" s="192">
        <f t="shared" si="42"/>
        <v>0</v>
      </c>
      <c r="T333" s="20">
        <v>3</v>
      </c>
      <c r="U333" s="41"/>
      <c r="V333" s="19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90">
        <v>300349</v>
      </c>
      <c r="B334" s="190" t="s">
        <v>118</v>
      </c>
      <c r="C334" s="226" t="s">
        <v>127</v>
      </c>
      <c r="D334" s="226"/>
      <c r="E334" s="194" t="s">
        <v>40</v>
      </c>
      <c r="F334" s="196"/>
      <c r="G334" s="41"/>
      <c r="H334" s="41"/>
      <c r="I334" s="41"/>
      <c r="J334" s="41"/>
      <c r="K334" s="192">
        <f t="shared" si="38"/>
        <v>0</v>
      </c>
      <c r="L334" s="192">
        <f t="shared" si="39"/>
        <v>0</v>
      </c>
      <c r="M334" s="192">
        <v>373.14</v>
      </c>
      <c r="N334" s="192">
        <f t="shared" si="44"/>
        <v>3.7017857142857142</v>
      </c>
      <c r="O334" s="41"/>
      <c r="P334" s="192">
        <f t="shared" si="40"/>
        <v>0</v>
      </c>
      <c r="Q334" s="41"/>
      <c r="R334" s="19">
        <f t="shared" si="41"/>
        <v>0</v>
      </c>
      <c r="S334" s="192">
        <f t="shared" si="42"/>
        <v>0</v>
      </c>
      <c r="T334" s="20">
        <v>3</v>
      </c>
      <c r="U334" s="41"/>
      <c r="V334" s="19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90">
        <v>300298</v>
      </c>
      <c r="B335" s="190" t="s">
        <v>118</v>
      </c>
      <c r="C335" s="226" t="s">
        <v>128</v>
      </c>
      <c r="D335" s="226"/>
      <c r="E335" s="194" t="s">
        <v>54</v>
      </c>
      <c r="F335" s="196"/>
      <c r="G335" s="192"/>
      <c r="H335" s="192"/>
      <c r="I335" s="192"/>
      <c r="J335" s="192"/>
      <c r="K335" s="192">
        <f t="shared" si="38"/>
        <v>0</v>
      </c>
      <c r="L335" s="192">
        <f t="shared" si="39"/>
        <v>0</v>
      </c>
      <c r="M335" s="192">
        <v>380.63</v>
      </c>
      <c r="N335" s="192">
        <f t="shared" ref="N335:N340" si="45">+M335*1000/(94.7*4*15*60)*T335</f>
        <v>4.4659157573624313</v>
      </c>
      <c r="O335" s="192"/>
      <c r="P335" s="192">
        <f t="shared" si="40"/>
        <v>0</v>
      </c>
      <c r="Q335" s="192"/>
      <c r="R335" s="19">
        <f t="shared" si="41"/>
        <v>0</v>
      </c>
      <c r="S335" s="192">
        <f t="shared" si="42"/>
        <v>0</v>
      </c>
      <c r="T335" s="20">
        <v>4</v>
      </c>
      <c r="U335" s="20"/>
      <c r="V335" s="19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90">
        <v>300299</v>
      </c>
      <c r="B336" s="190" t="s">
        <v>118</v>
      </c>
      <c r="C336" s="226" t="s">
        <v>128</v>
      </c>
      <c r="D336" s="226"/>
      <c r="E336" s="194" t="s">
        <v>39</v>
      </c>
      <c r="F336" s="196"/>
      <c r="G336" s="192"/>
      <c r="H336" s="192"/>
      <c r="I336" s="192"/>
      <c r="J336" s="192"/>
      <c r="K336" s="192">
        <f t="shared" si="38"/>
        <v>0</v>
      </c>
      <c r="L336" s="192">
        <f t="shared" si="39"/>
        <v>0</v>
      </c>
      <c r="M336" s="192">
        <v>380.63</v>
      </c>
      <c r="N336" s="192">
        <f t="shared" si="45"/>
        <v>4.4659157573624313</v>
      </c>
      <c r="O336" s="192"/>
      <c r="P336" s="192">
        <f t="shared" si="40"/>
        <v>0</v>
      </c>
      <c r="Q336" s="192"/>
      <c r="R336" s="19">
        <f t="shared" si="41"/>
        <v>0</v>
      </c>
      <c r="S336" s="192">
        <f t="shared" si="42"/>
        <v>0</v>
      </c>
      <c r="T336" s="20">
        <v>4</v>
      </c>
      <c r="U336" s="20"/>
      <c r="V336" s="19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90">
        <v>300296</v>
      </c>
      <c r="B337" s="190" t="s">
        <v>118</v>
      </c>
      <c r="C337" s="226" t="s">
        <v>128</v>
      </c>
      <c r="D337" s="226"/>
      <c r="E337" s="194" t="s">
        <v>41</v>
      </c>
      <c r="F337" s="196"/>
      <c r="G337" s="192"/>
      <c r="H337" s="192"/>
      <c r="I337" s="192"/>
      <c r="J337" s="192"/>
      <c r="K337" s="192">
        <f t="shared" si="38"/>
        <v>0</v>
      </c>
      <c r="L337" s="192">
        <f t="shared" si="39"/>
        <v>0</v>
      </c>
      <c r="M337" s="192">
        <v>380.63</v>
      </c>
      <c r="N337" s="192">
        <f t="shared" si="45"/>
        <v>4.4659157573624313</v>
      </c>
      <c r="O337" s="192"/>
      <c r="P337" s="192">
        <f t="shared" si="40"/>
        <v>0</v>
      </c>
      <c r="Q337" s="192"/>
      <c r="R337" s="19">
        <f t="shared" si="41"/>
        <v>0</v>
      </c>
      <c r="S337" s="192">
        <f t="shared" si="42"/>
        <v>0</v>
      </c>
      <c r="T337" s="20">
        <v>4</v>
      </c>
      <c r="U337" s="20"/>
      <c r="V337" s="19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90">
        <v>300297</v>
      </c>
      <c r="B338" s="190" t="s">
        <v>118</v>
      </c>
      <c r="C338" s="226" t="s">
        <v>128</v>
      </c>
      <c r="D338" s="226"/>
      <c r="E338" s="194" t="s">
        <v>37</v>
      </c>
      <c r="F338" s="196"/>
      <c r="G338" s="192"/>
      <c r="H338" s="192"/>
      <c r="I338" s="192"/>
      <c r="J338" s="192"/>
      <c r="K338" s="192">
        <f t="shared" si="38"/>
        <v>0</v>
      </c>
      <c r="L338" s="192">
        <f t="shared" si="39"/>
        <v>0</v>
      </c>
      <c r="M338" s="192">
        <v>380.63</v>
      </c>
      <c r="N338" s="192">
        <f t="shared" si="45"/>
        <v>4.4659157573624313</v>
      </c>
      <c r="O338" s="192"/>
      <c r="P338" s="192">
        <f t="shared" si="40"/>
        <v>0</v>
      </c>
      <c r="Q338" s="192"/>
      <c r="R338" s="19">
        <f t="shared" si="41"/>
        <v>0</v>
      </c>
      <c r="S338" s="192">
        <f t="shared" si="42"/>
        <v>0</v>
      </c>
      <c r="T338" s="20">
        <v>4</v>
      </c>
      <c r="U338" s="20"/>
      <c r="V338" s="19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90">
        <v>300340</v>
      </c>
      <c r="B339" s="190" t="s">
        <v>118</v>
      </c>
      <c r="C339" s="237" t="s">
        <v>129</v>
      </c>
      <c r="D339" s="238"/>
      <c r="E339" s="194" t="s">
        <v>41</v>
      </c>
      <c r="F339" s="196"/>
      <c r="G339" s="192"/>
      <c r="H339" s="192"/>
      <c r="I339" s="192"/>
      <c r="J339" s="192"/>
      <c r="K339" s="192">
        <f t="shared" si="38"/>
        <v>0</v>
      </c>
      <c r="L339" s="192">
        <f t="shared" si="39"/>
        <v>0</v>
      </c>
      <c r="M339" s="192">
        <v>325.60000000000002</v>
      </c>
      <c r="N339" s="192">
        <f t="shared" si="45"/>
        <v>3.8202510852986036</v>
      </c>
      <c r="O339" s="192"/>
      <c r="P339" s="192">
        <f t="shared" si="40"/>
        <v>0</v>
      </c>
      <c r="Q339" s="192"/>
      <c r="R339" s="19">
        <f t="shared" si="41"/>
        <v>0</v>
      </c>
      <c r="S339" s="192">
        <f t="shared" si="42"/>
        <v>0</v>
      </c>
      <c r="T339" s="20">
        <v>4</v>
      </c>
      <c r="U339" s="20"/>
      <c r="V339" s="19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90">
        <v>300339</v>
      </c>
      <c r="B340" s="190" t="s">
        <v>118</v>
      </c>
      <c r="C340" s="237" t="s">
        <v>129</v>
      </c>
      <c r="D340" s="238"/>
      <c r="E340" s="194" t="s">
        <v>39</v>
      </c>
      <c r="F340" s="196"/>
      <c r="G340" s="192"/>
      <c r="H340" s="192"/>
      <c r="I340" s="192"/>
      <c r="J340" s="192"/>
      <c r="K340" s="192">
        <f t="shared" si="38"/>
        <v>0</v>
      </c>
      <c r="L340" s="192">
        <f t="shared" si="39"/>
        <v>0</v>
      </c>
      <c r="M340" s="192">
        <v>325.60000000000002</v>
      </c>
      <c r="N340" s="192">
        <f t="shared" si="45"/>
        <v>3.8202510852986036</v>
      </c>
      <c r="O340" s="192"/>
      <c r="P340" s="192">
        <f t="shared" si="40"/>
        <v>0</v>
      </c>
      <c r="Q340" s="192"/>
      <c r="R340" s="19">
        <f t="shared" si="41"/>
        <v>0</v>
      </c>
      <c r="S340" s="192">
        <f t="shared" si="42"/>
        <v>0</v>
      </c>
      <c r="T340" s="20">
        <v>4</v>
      </c>
      <c r="U340" s="20"/>
      <c r="V340" s="19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90">
        <v>300303</v>
      </c>
      <c r="B341" s="190" t="s">
        <v>118</v>
      </c>
      <c r="C341" s="226" t="s">
        <v>130</v>
      </c>
      <c r="D341" s="226" t="s">
        <v>131</v>
      </c>
      <c r="E341" s="194" t="s">
        <v>57</v>
      </c>
      <c r="F341" s="196"/>
      <c r="G341" s="192"/>
      <c r="H341" s="192"/>
      <c r="I341" s="192"/>
      <c r="J341" s="192"/>
      <c r="K341" s="192">
        <f t="shared" si="38"/>
        <v>0</v>
      </c>
      <c r="L341" s="192">
        <f t="shared" si="39"/>
        <v>0</v>
      </c>
      <c r="M341" s="192">
        <v>396.92</v>
      </c>
      <c r="N341" s="192">
        <f>+M341*1000/(113.8*4*15*60)*T341</f>
        <v>4.8442686975200155</v>
      </c>
      <c r="O341" s="192"/>
      <c r="P341" s="192">
        <f t="shared" si="40"/>
        <v>0</v>
      </c>
      <c r="Q341" s="192"/>
      <c r="R341" s="19">
        <f t="shared" si="41"/>
        <v>0</v>
      </c>
      <c r="S341" s="192">
        <f t="shared" si="42"/>
        <v>0</v>
      </c>
      <c r="T341" s="20">
        <v>5</v>
      </c>
      <c r="U341" s="20"/>
      <c r="V341" s="19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90">
        <v>300302</v>
      </c>
      <c r="B342" s="190" t="s">
        <v>118</v>
      </c>
      <c r="C342" s="226" t="s">
        <v>130</v>
      </c>
      <c r="D342" s="226" t="s">
        <v>131</v>
      </c>
      <c r="E342" s="194" t="s">
        <v>117</v>
      </c>
      <c r="F342" s="196"/>
      <c r="G342" s="192"/>
      <c r="H342" s="192"/>
      <c r="I342" s="192"/>
      <c r="J342" s="192"/>
      <c r="K342" s="192">
        <f t="shared" si="38"/>
        <v>0</v>
      </c>
      <c r="L342" s="192">
        <f t="shared" si="39"/>
        <v>0</v>
      </c>
      <c r="M342" s="192">
        <v>396.06</v>
      </c>
      <c r="N342" s="192">
        <f>+M342*1000/(113.8*4*15*60)*T342</f>
        <v>4.8337727006444053</v>
      </c>
      <c r="O342" s="192"/>
      <c r="P342" s="192">
        <f t="shared" si="40"/>
        <v>0</v>
      </c>
      <c r="Q342" s="192"/>
      <c r="R342" s="19">
        <f t="shared" si="41"/>
        <v>0</v>
      </c>
      <c r="S342" s="192">
        <f t="shared" si="42"/>
        <v>0</v>
      </c>
      <c r="T342" s="20">
        <v>5</v>
      </c>
      <c r="U342" s="20"/>
      <c r="V342" s="19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90">
        <v>300301</v>
      </c>
      <c r="B343" s="190" t="s">
        <v>118</v>
      </c>
      <c r="C343" s="226" t="s">
        <v>130</v>
      </c>
      <c r="D343" s="226" t="s">
        <v>131</v>
      </c>
      <c r="E343" s="194" t="s">
        <v>132</v>
      </c>
      <c r="F343" s="196"/>
      <c r="G343" s="192"/>
      <c r="H343" s="192"/>
      <c r="I343" s="192"/>
      <c r="J343" s="192"/>
      <c r="K343" s="192">
        <f t="shared" si="38"/>
        <v>0</v>
      </c>
      <c r="L343" s="192">
        <f t="shared" si="39"/>
        <v>0</v>
      </c>
      <c r="M343" s="192">
        <v>401.25</v>
      </c>
      <c r="N343" s="192">
        <f>+M343*1000/(113.8*4*15*60)*T343</f>
        <v>4.8971148213239601</v>
      </c>
      <c r="O343" s="192"/>
      <c r="P343" s="192">
        <f t="shared" si="40"/>
        <v>0</v>
      </c>
      <c r="Q343" s="192"/>
      <c r="R343" s="19">
        <f t="shared" si="41"/>
        <v>0</v>
      </c>
      <c r="S343" s="192">
        <f t="shared" si="42"/>
        <v>0</v>
      </c>
      <c r="T343" s="20">
        <v>5</v>
      </c>
      <c r="U343" s="20"/>
      <c r="V343" s="19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95">
        <v>300304</v>
      </c>
      <c r="B344" s="190" t="s">
        <v>118</v>
      </c>
      <c r="C344" s="226" t="s">
        <v>130</v>
      </c>
      <c r="D344" s="226"/>
      <c r="E344" s="194" t="s">
        <v>133</v>
      </c>
      <c r="F344" s="196"/>
      <c r="G344" s="192"/>
      <c r="H344" s="192"/>
      <c r="I344" s="192"/>
      <c r="J344" s="192"/>
      <c r="K344" s="192">
        <f t="shared" si="38"/>
        <v>0</v>
      </c>
      <c r="L344" s="192">
        <f t="shared" si="39"/>
        <v>0</v>
      </c>
      <c r="M344" s="192">
        <v>401.25</v>
      </c>
      <c r="N344" s="192">
        <f>+M344*1000/(113.8*4*15*60)*T344</f>
        <v>4.8971148213239601</v>
      </c>
      <c r="O344" s="192"/>
      <c r="P344" s="192">
        <f t="shared" si="40"/>
        <v>0</v>
      </c>
      <c r="Q344" s="192"/>
      <c r="R344" s="19">
        <f t="shared" si="41"/>
        <v>0</v>
      </c>
      <c r="S344" s="192">
        <f t="shared" si="42"/>
        <v>0</v>
      </c>
      <c r="T344" s="20">
        <v>5</v>
      </c>
      <c r="U344" s="20"/>
      <c r="V344" s="19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95">
        <v>300300</v>
      </c>
      <c r="B345" s="190" t="s">
        <v>118</v>
      </c>
      <c r="C345" s="226" t="s">
        <v>130</v>
      </c>
      <c r="D345" s="226" t="s">
        <v>131</v>
      </c>
      <c r="E345" s="194" t="s">
        <v>54</v>
      </c>
      <c r="F345" s="196"/>
      <c r="G345" s="192"/>
      <c r="H345" s="192"/>
      <c r="I345" s="192"/>
      <c r="J345" s="192"/>
      <c r="K345" s="192">
        <f t="shared" si="38"/>
        <v>0</v>
      </c>
      <c r="L345" s="192">
        <f t="shared" si="39"/>
        <v>0</v>
      </c>
      <c r="M345" s="192">
        <v>399.07</v>
      </c>
      <c r="N345" s="192">
        <f>+M345*1000/(113.8*4*15*60)*T345</f>
        <v>4.8705086897090411</v>
      </c>
      <c r="O345" s="192"/>
      <c r="P345" s="192">
        <f t="shared" si="40"/>
        <v>0</v>
      </c>
      <c r="Q345" s="192"/>
      <c r="R345" s="19">
        <f t="shared" si="41"/>
        <v>0</v>
      </c>
      <c r="S345" s="192">
        <f t="shared" si="42"/>
        <v>0</v>
      </c>
      <c r="T345" s="20">
        <v>5</v>
      </c>
      <c r="U345" s="20"/>
      <c r="V345" s="19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95">
        <v>300085</v>
      </c>
      <c r="B346" s="190" t="s">
        <v>118</v>
      </c>
      <c r="C346" s="226" t="s">
        <v>134</v>
      </c>
      <c r="D346" s="226" t="s">
        <v>131</v>
      </c>
      <c r="E346" s="194" t="s">
        <v>135</v>
      </c>
      <c r="F346" s="196"/>
      <c r="G346" s="192"/>
      <c r="H346" s="192"/>
      <c r="I346" s="192"/>
      <c r="J346" s="192"/>
      <c r="K346" s="192">
        <f t="shared" si="38"/>
        <v>0</v>
      </c>
      <c r="L346" s="192">
        <f t="shared" si="39"/>
        <v>0</v>
      </c>
      <c r="M346" s="192">
        <v>394.3</v>
      </c>
      <c r="N346" s="192">
        <f>+M346*1000/(104.2*4*15*60)*T346</f>
        <v>6.3067818298144598</v>
      </c>
      <c r="O346" s="192"/>
      <c r="P346" s="192">
        <f t="shared" si="40"/>
        <v>0</v>
      </c>
      <c r="Q346" s="192"/>
      <c r="R346" s="19">
        <f t="shared" si="41"/>
        <v>0</v>
      </c>
      <c r="S346" s="192">
        <f t="shared" si="42"/>
        <v>0</v>
      </c>
      <c r="T346" s="20">
        <v>6</v>
      </c>
      <c r="U346" s="20"/>
      <c r="V346" s="19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95">
        <v>300087</v>
      </c>
      <c r="B347" s="190" t="s">
        <v>118</v>
      </c>
      <c r="C347" s="226" t="s">
        <v>134</v>
      </c>
      <c r="D347" s="226" t="s">
        <v>131</v>
      </c>
      <c r="E347" s="194" t="s">
        <v>80</v>
      </c>
      <c r="F347" s="196"/>
      <c r="G347" s="192"/>
      <c r="H347" s="192"/>
      <c r="I347" s="192"/>
      <c r="J347" s="192"/>
      <c r="K347" s="192">
        <f t="shared" si="38"/>
        <v>0</v>
      </c>
      <c r="L347" s="192">
        <f t="shared" si="39"/>
        <v>0</v>
      </c>
      <c r="M347" s="192">
        <v>380.1</v>
      </c>
      <c r="N347" s="192">
        <f>+M347*1000/(104.2*4*16*60)*T347</f>
        <v>4.7497300863723604</v>
      </c>
      <c r="O347" s="192"/>
      <c r="P347" s="192">
        <f t="shared" si="40"/>
        <v>0</v>
      </c>
      <c r="Q347" s="192"/>
      <c r="R347" s="19">
        <f t="shared" si="41"/>
        <v>0</v>
      </c>
      <c r="S347" s="192">
        <f t="shared" si="42"/>
        <v>0</v>
      </c>
      <c r="T347" s="20">
        <v>5</v>
      </c>
      <c r="U347" s="20"/>
      <c r="V347" s="19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95">
        <v>300387</v>
      </c>
      <c r="B348" s="190" t="s">
        <v>136</v>
      </c>
      <c r="C348" s="237" t="s">
        <v>137</v>
      </c>
      <c r="D348" s="238"/>
      <c r="E348" s="194" t="s">
        <v>57</v>
      </c>
      <c r="F348" s="196"/>
      <c r="G348" s="192"/>
      <c r="H348" s="192"/>
      <c r="I348" s="192"/>
      <c r="J348" s="192"/>
      <c r="K348" s="192">
        <f t="shared" si="38"/>
        <v>0</v>
      </c>
      <c r="L348" s="192">
        <f t="shared" si="39"/>
        <v>0</v>
      </c>
      <c r="M348" s="192">
        <v>352.29</v>
      </c>
      <c r="N348" s="192">
        <f>+M348*1000/(104.2*4*16*60)*T348</f>
        <v>4.4022162907869484</v>
      </c>
      <c r="O348" s="192"/>
      <c r="P348" s="192">
        <f t="shared" si="40"/>
        <v>0</v>
      </c>
      <c r="Q348" s="192"/>
      <c r="R348" s="19">
        <f t="shared" si="41"/>
        <v>0</v>
      </c>
      <c r="S348" s="192">
        <f t="shared" si="42"/>
        <v>0</v>
      </c>
      <c r="T348" s="20">
        <v>5</v>
      </c>
      <c r="U348" s="20"/>
      <c r="V348" s="19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95">
        <v>300388</v>
      </c>
      <c r="B349" s="190" t="s">
        <v>138</v>
      </c>
      <c r="C349" s="237" t="s">
        <v>137</v>
      </c>
      <c r="D349" s="238"/>
      <c r="E349" s="194" t="s">
        <v>117</v>
      </c>
      <c r="F349" s="196"/>
      <c r="G349" s="192"/>
      <c r="H349" s="192"/>
      <c r="I349" s="192"/>
      <c r="J349" s="192"/>
      <c r="K349" s="192">
        <f t="shared" si="38"/>
        <v>0</v>
      </c>
      <c r="L349" s="192">
        <f t="shared" si="39"/>
        <v>0</v>
      </c>
      <c r="M349" s="192">
        <v>352.29</v>
      </c>
      <c r="N349" s="192">
        <f>+M349*1000/(104.2*4*16*60)*T349</f>
        <v>4.4022162907869484</v>
      </c>
      <c r="O349" s="192"/>
      <c r="P349" s="192">
        <f t="shared" si="40"/>
        <v>0</v>
      </c>
      <c r="Q349" s="192"/>
      <c r="R349" s="19">
        <f t="shared" si="41"/>
        <v>0</v>
      </c>
      <c r="S349" s="192">
        <f t="shared" si="42"/>
        <v>0</v>
      </c>
      <c r="T349" s="20">
        <v>5</v>
      </c>
      <c r="U349" s="20"/>
      <c r="V349" s="19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95">
        <v>300123</v>
      </c>
      <c r="B350" s="190" t="s">
        <v>118</v>
      </c>
      <c r="C350" s="226" t="s">
        <v>139</v>
      </c>
      <c r="D350" s="226" t="s">
        <v>140</v>
      </c>
      <c r="E350" s="194" t="s">
        <v>135</v>
      </c>
      <c r="F350" s="196"/>
      <c r="G350" s="192"/>
      <c r="H350" s="192"/>
      <c r="I350" s="192"/>
      <c r="J350" s="192"/>
      <c r="K350" s="192">
        <f t="shared" si="38"/>
        <v>0</v>
      </c>
      <c r="L350" s="192">
        <f t="shared" si="39"/>
        <v>0</v>
      </c>
      <c r="M350" s="192">
        <v>557</v>
      </c>
      <c r="N350" s="192">
        <f>+M350*1000/(126.5*4*15*60)*T350</f>
        <v>6.1155028546332888</v>
      </c>
      <c r="O350" s="192"/>
      <c r="P350" s="192">
        <f t="shared" si="40"/>
        <v>0</v>
      </c>
      <c r="Q350" s="192"/>
      <c r="R350" s="19">
        <f t="shared" si="41"/>
        <v>0</v>
      </c>
      <c r="S350" s="192">
        <f t="shared" si="42"/>
        <v>0</v>
      </c>
      <c r="T350" s="20">
        <v>5</v>
      </c>
      <c r="U350" s="20"/>
      <c r="V350" s="19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95">
        <v>300270</v>
      </c>
      <c r="B351" s="190" t="s">
        <v>118</v>
      </c>
      <c r="C351" s="226" t="s">
        <v>141</v>
      </c>
      <c r="D351" s="226"/>
      <c r="E351" s="194" t="s">
        <v>142</v>
      </c>
      <c r="F351" s="196"/>
      <c r="G351" s="192"/>
      <c r="H351" s="192"/>
      <c r="I351" s="192"/>
      <c r="J351" s="192"/>
      <c r="K351" s="192">
        <f t="shared" si="38"/>
        <v>0</v>
      </c>
      <c r="L351" s="192">
        <f t="shared" si="39"/>
        <v>0</v>
      </c>
      <c r="M351" s="192">
        <v>485.7</v>
      </c>
      <c r="N351" s="192">
        <f>+M351*1000/(126.5*4*15*60)*T351</f>
        <v>4.2661396574440049</v>
      </c>
      <c r="O351" s="192"/>
      <c r="P351" s="192">
        <f t="shared" si="40"/>
        <v>0</v>
      </c>
      <c r="Q351" s="192"/>
      <c r="R351" s="19">
        <f t="shared" si="41"/>
        <v>0</v>
      </c>
      <c r="S351" s="192">
        <f t="shared" si="42"/>
        <v>0</v>
      </c>
      <c r="T351" s="20">
        <v>4</v>
      </c>
      <c r="U351" s="20"/>
      <c r="V351" s="19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95">
        <v>300336</v>
      </c>
      <c r="B352" s="190" t="s">
        <v>118</v>
      </c>
      <c r="C352" s="226" t="s">
        <v>143</v>
      </c>
      <c r="D352" s="226"/>
      <c r="E352" s="194" t="s">
        <v>84</v>
      </c>
      <c r="F352" s="196"/>
      <c r="G352" s="192"/>
      <c r="H352" s="192"/>
      <c r="I352" s="192"/>
      <c r="J352" s="192"/>
      <c r="K352" s="192">
        <f t="shared" si="38"/>
        <v>0</v>
      </c>
      <c r="L352" s="192">
        <f t="shared" si="39"/>
        <v>0</v>
      </c>
      <c r="M352" s="192">
        <v>411.4</v>
      </c>
      <c r="N352" s="192">
        <f>+M352*1000/(104.2*4*16*60)*T352</f>
        <v>2.0563419705694179</v>
      </c>
      <c r="O352" s="192"/>
      <c r="P352" s="192">
        <f t="shared" si="40"/>
        <v>0</v>
      </c>
      <c r="Q352" s="192"/>
      <c r="R352" s="19">
        <f t="shared" si="41"/>
        <v>0</v>
      </c>
      <c r="S352" s="192">
        <f t="shared" si="42"/>
        <v>0</v>
      </c>
      <c r="T352" s="20">
        <v>2</v>
      </c>
      <c r="U352" s="20"/>
      <c r="V352" s="19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95">
        <v>300337</v>
      </c>
      <c r="B353" s="190" t="s">
        <v>118</v>
      </c>
      <c r="C353" s="226" t="s">
        <v>143</v>
      </c>
      <c r="D353" s="226"/>
      <c r="E353" s="194" t="s">
        <v>49</v>
      </c>
      <c r="F353" s="196"/>
      <c r="G353" s="192"/>
      <c r="H353" s="192"/>
      <c r="I353" s="192"/>
      <c r="J353" s="192"/>
      <c r="K353" s="192">
        <f t="shared" si="38"/>
        <v>0</v>
      </c>
      <c r="L353" s="192">
        <f t="shared" si="39"/>
        <v>0</v>
      </c>
      <c r="M353" s="192">
        <v>411.4</v>
      </c>
      <c r="N353" s="192">
        <f>+M353*1000/(104.2*4*16*60)*T353</f>
        <v>2.0563419705694179</v>
      </c>
      <c r="O353" s="192"/>
      <c r="P353" s="192">
        <f t="shared" si="40"/>
        <v>0</v>
      </c>
      <c r="Q353" s="192"/>
      <c r="R353" s="19">
        <f t="shared" si="41"/>
        <v>0</v>
      </c>
      <c r="S353" s="192">
        <f t="shared" si="42"/>
        <v>0</v>
      </c>
      <c r="T353" s="20">
        <v>2</v>
      </c>
      <c r="U353" s="20"/>
      <c r="V353" s="19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95">
        <v>300338</v>
      </c>
      <c r="B354" s="190" t="s">
        <v>118</v>
      </c>
      <c r="C354" s="226" t="s">
        <v>143</v>
      </c>
      <c r="D354" s="226"/>
      <c r="E354" s="194" t="s">
        <v>85</v>
      </c>
      <c r="F354" s="196"/>
      <c r="G354" s="192"/>
      <c r="H354" s="192"/>
      <c r="I354" s="192"/>
      <c r="J354" s="192"/>
      <c r="K354" s="192">
        <f t="shared" si="38"/>
        <v>0</v>
      </c>
      <c r="L354" s="192">
        <f t="shared" si="39"/>
        <v>0</v>
      </c>
      <c r="M354" s="192">
        <v>411.4</v>
      </c>
      <c r="N354" s="192">
        <f>+M354*1000/(104.2*4*16*60)*T354</f>
        <v>2.0563419705694179</v>
      </c>
      <c r="O354" s="192"/>
      <c r="P354" s="192">
        <f t="shared" si="40"/>
        <v>0</v>
      </c>
      <c r="Q354" s="192"/>
      <c r="R354" s="19">
        <f t="shared" si="41"/>
        <v>0</v>
      </c>
      <c r="S354" s="192">
        <f t="shared" si="42"/>
        <v>0</v>
      </c>
      <c r="T354" s="20">
        <v>2</v>
      </c>
      <c r="U354" s="20"/>
      <c r="V354" s="19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95">
        <v>300309</v>
      </c>
      <c r="B355" s="190">
        <v>6504</v>
      </c>
      <c r="C355" s="226" t="s">
        <v>145</v>
      </c>
      <c r="D355" s="226"/>
      <c r="E355" s="194" t="s">
        <v>47</v>
      </c>
      <c r="F355" s="196"/>
      <c r="G355" s="192"/>
      <c r="H355" s="192"/>
      <c r="I355" s="192"/>
      <c r="J355" s="192"/>
      <c r="K355" s="192">
        <f t="shared" si="38"/>
        <v>0</v>
      </c>
      <c r="L355" s="192">
        <f t="shared" si="39"/>
        <v>0</v>
      </c>
      <c r="M355" s="192">
        <v>316.88</v>
      </c>
      <c r="N355" s="192">
        <f>+M355*1000/(75.2*4*16*60)*T355</f>
        <v>6.5841090425531918</v>
      </c>
      <c r="O355" s="192"/>
      <c r="P355" s="192">
        <f t="shared" si="40"/>
        <v>0</v>
      </c>
      <c r="Q355" s="192"/>
      <c r="R355" s="19">
        <f t="shared" si="41"/>
        <v>0</v>
      </c>
      <c r="S355" s="192">
        <f t="shared" si="42"/>
        <v>0</v>
      </c>
      <c r="T355" s="20">
        <v>6</v>
      </c>
      <c r="U355" s="20"/>
      <c r="V355" s="19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95">
        <v>300310</v>
      </c>
      <c r="B356" s="190">
        <v>6504</v>
      </c>
      <c r="C356" s="226" t="s">
        <v>145</v>
      </c>
      <c r="D356" s="226"/>
      <c r="E356" s="194" t="s">
        <v>146</v>
      </c>
      <c r="F356" s="196"/>
      <c r="G356" s="192"/>
      <c r="H356" s="192"/>
      <c r="I356" s="192"/>
      <c r="J356" s="192"/>
      <c r="K356" s="192">
        <f t="shared" si="38"/>
        <v>0</v>
      </c>
      <c r="L356" s="192">
        <f t="shared" si="39"/>
        <v>0</v>
      </c>
      <c r="M356" s="192">
        <v>316.88</v>
      </c>
      <c r="N356" s="192">
        <f>+M356*1000/(75.2*4*16*60)*T356</f>
        <v>6.5841090425531918</v>
      </c>
      <c r="O356" s="192"/>
      <c r="P356" s="192">
        <f t="shared" si="40"/>
        <v>0</v>
      </c>
      <c r="Q356" s="192"/>
      <c r="R356" s="19">
        <f t="shared" si="41"/>
        <v>0</v>
      </c>
      <c r="S356" s="192">
        <f t="shared" si="42"/>
        <v>0</v>
      </c>
      <c r="T356" s="20">
        <v>6</v>
      </c>
      <c r="U356" s="20"/>
      <c r="V356" s="19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95">
        <v>300312</v>
      </c>
      <c r="B357" s="190">
        <v>6504</v>
      </c>
      <c r="C357" s="226" t="s">
        <v>145</v>
      </c>
      <c r="D357" s="226"/>
      <c r="E357" s="194" t="s">
        <v>147</v>
      </c>
      <c r="F357" s="196"/>
      <c r="G357" s="192"/>
      <c r="H357" s="192"/>
      <c r="I357" s="192"/>
      <c r="J357" s="192"/>
      <c r="K357" s="192">
        <f t="shared" si="38"/>
        <v>0</v>
      </c>
      <c r="L357" s="192">
        <f t="shared" si="39"/>
        <v>0</v>
      </c>
      <c r="M357" s="192">
        <v>316.88</v>
      </c>
      <c r="N357" s="192">
        <f>+M357*1000/(75.2*4*16*60)*T357</f>
        <v>6.5841090425531918</v>
      </c>
      <c r="O357" s="192"/>
      <c r="P357" s="192">
        <f t="shared" si="40"/>
        <v>0</v>
      </c>
      <c r="Q357" s="192"/>
      <c r="R357" s="19">
        <f t="shared" si="41"/>
        <v>0</v>
      </c>
      <c r="S357" s="192">
        <f t="shared" si="42"/>
        <v>0</v>
      </c>
      <c r="T357" s="20">
        <v>6</v>
      </c>
      <c r="U357" s="20"/>
      <c r="V357" s="19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95">
        <v>300311</v>
      </c>
      <c r="B358" s="190">
        <v>6504</v>
      </c>
      <c r="C358" s="226" t="s">
        <v>145</v>
      </c>
      <c r="D358" s="226"/>
      <c r="E358" s="194" t="s">
        <v>74</v>
      </c>
      <c r="F358" s="196"/>
      <c r="G358" s="192"/>
      <c r="H358" s="192"/>
      <c r="I358" s="192"/>
      <c r="J358" s="192"/>
      <c r="K358" s="192">
        <f t="shared" si="38"/>
        <v>0</v>
      </c>
      <c r="L358" s="192">
        <f t="shared" si="39"/>
        <v>0</v>
      </c>
      <c r="M358" s="192">
        <v>316.88</v>
      </c>
      <c r="N358" s="192">
        <f>+M358*1000/(75.2*4*16*60)*T358</f>
        <v>6.5841090425531918</v>
      </c>
      <c r="O358" s="192"/>
      <c r="P358" s="192">
        <f t="shared" si="40"/>
        <v>0</v>
      </c>
      <c r="Q358" s="192"/>
      <c r="R358" s="19">
        <f t="shared" si="41"/>
        <v>0</v>
      </c>
      <c r="S358" s="192">
        <f t="shared" si="42"/>
        <v>0</v>
      </c>
      <c r="T358" s="20">
        <v>6</v>
      </c>
      <c r="U358" s="20"/>
      <c r="V358" s="19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95">
        <v>300399</v>
      </c>
      <c r="B359" s="190">
        <v>18501</v>
      </c>
      <c r="C359" s="237" t="s">
        <v>148</v>
      </c>
      <c r="D359" s="238"/>
      <c r="E359" s="194" t="s">
        <v>41</v>
      </c>
      <c r="F359" s="196"/>
      <c r="G359" s="192"/>
      <c r="H359" s="192"/>
      <c r="I359" s="192"/>
      <c r="J359" s="192"/>
      <c r="K359" s="192">
        <f t="shared" si="38"/>
        <v>0</v>
      </c>
      <c r="L359" s="192">
        <f t="shared" si="39"/>
        <v>0</v>
      </c>
      <c r="M359" s="192">
        <v>311.2</v>
      </c>
      <c r="N359" s="192">
        <f>+M359*1000/(100*4*16*60)*T359</f>
        <v>4.8624999999999998</v>
      </c>
      <c r="O359" s="192"/>
      <c r="P359" s="192">
        <f t="shared" si="40"/>
        <v>0</v>
      </c>
      <c r="Q359" s="192"/>
      <c r="R359" s="19">
        <f t="shared" si="41"/>
        <v>0</v>
      </c>
      <c r="S359" s="192">
        <f t="shared" si="42"/>
        <v>0</v>
      </c>
      <c r="T359" s="20">
        <v>6</v>
      </c>
      <c r="U359" s="20"/>
      <c r="V359" s="19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95">
        <v>300400</v>
      </c>
      <c r="B360" s="190">
        <v>18501</v>
      </c>
      <c r="C360" s="237" t="s">
        <v>148</v>
      </c>
      <c r="D360" s="238"/>
      <c r="E360" s="194" t="s">
        <v>66</v>
      </c>
      <c r="F360" s="196"/>
      <c r="G360" s="192"/>
      <c r="H360" s="192"/>
      <c r="I360" s="192"/>
      <c r="J360" s="192"/>
      <c r="K360" s="192">
        <f t="shared" si="38"/>
        <v>0</v>
      </c>
      <c r="L360" s="192">
        <f t="shared" si="39"/>
        <v>0</v>
      </c>
      <c r="M360" s="192">
        <v>311.2</v>
      </c>
      <c r="N360" s="192">
        <f>+M360*1000/(100*4*16*60)*T360</f>
        <v>4.8624999999999998</v>
      </c>
      <c r="O360" s="192"/>
      <c r="P360" s="192">
        <f t="shared" si="40"/>
        <v>0</v>
      </c>
      <c r="Q360" s="192"/>
      <c r="R360" s="19">
        <f t="shared" si="41"/>
        <v>0</v>
      </c>
      <c r="S360" s="192">
        <f t="shared" si="42"/>
        <v>0</v>
      </c>
      <c r="T360" s="20">
        <v>6</v>
      </c>
      <c r="U360" s="20"/>
      <c r="V360" s="19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95">
        <v>300401</v>
      </c>
      <c r="B361" s="190">
        <v>18501</v>
      </c>
      <c r="C361" s="237" t="s">
        <v>148</v>
      </c>
      <c r="D361" s="238"/>
      <c r="E361" s="194" t="s">
        <v>149</v>
      </c>
      <c r="F361" s="196"/>
      <c r="G361" s="192"/>
      <c r="H361" s="192"/>
      <c r="I361" s="192"/>
      <c r="J361" s="192"/>
      <c r="K361" s="192">
        <f t="shared" si="38"/>
        <v>0</v>
      </c>
      <c r="L361" s="192">
        <f t="shared" si="39"/>
        <v>0</v>
      </c>
      <c r="M361" s="192">
        <v>311.2</v>
      </c>
      <c r="N361" s="192">
        <f>+M361*1000/(100*4*16*60)*T361</f>
        <v>4.8624999999999998</v>
      </c>
      <c r="O361" s="192"/>
      <c r="P361" s="192">
        <f t="shared" si="40"/>
        <v>0</v>
      </c>
      <c r="Q361" s="192"/>
      <c r="R361" s="19">
        <f t="shared" si="41"/>
        <v>0</v>
      </c>
      <c r="S361" s="192">
        <f t="shared" si="42"/>
        <v>0</v>
      </c>
      <c r="T361" s="20">
        <v>6</v>
      </c>
      <c r="U361" s="20"/>
      <c r="V361" s="19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95">
        <v>300402</v>
      </c>
      <c r="B362" s="190">
        <v>18501</v>
      </c>
      <c r="C362" s="237" t="s">
        <v>150</v>
      </c>
      <c r="D362" s="238"/>
      <c r="E362" s="194" t="s">
        <v>151</v>
      </c>
      <c r="F362" s="196"/>
      <c r="G362" s="192"/>
      <c r="H362" s="192"/>
      <c r="I362" s="192"/>
      <c r="J362" s="192"/>
      <c r="K362" s="192">
        <f t="shared" si="38"/>
        <v>0</v>
      </c>
      <c r="L362" s="192">
        <f t="shared" si="39"/>
        <v>0</v>
      </c>
      <c r="M362" s="192">
        <v>465.3</v>
      </c>
      <c r="N362" s="192">
        <f>+M362*1000/(137*4*16*60)*T362</f>
        <v>5.3067974452554747</v>
      </c>
      <c r="O362" s="192"/>
      <c r="P362" s="192">
        <f t="shared" si="40"/>
        <v>0</v>
      </c>
      <c r="Q362" s="192"/>
      <c r="R362" s="19">
        <f t="shared" si="41"/>
        <v>0</v>
      </c>
      <c r="S362" s="192">
        <f t="shared" si="42"/>
        <v>0</v>
      </c>
      <c r="T362" s="20">
        <v>6</v>
      </c>
      <c r="U362" s="20"/>
      <c r="V362" s="19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95">
        <v>300403</v>
      </c>
      <c r="B363" s="190">
        <v>18501</v>
      </c>
      <c r="C363" s="237" t="s">
        <v>150</v>
      </c>
      <c r="D363" s="238"/>
      <c r="E363" s="194" t="s">
        <v>152</v>
      </c>
      <c r="F363" s="196"/>
      <c r="G363" s="192"/>
      <c r="H363" s="192"/>
      <c r="I363" s="192"/>
      <c r="J363" s="192"/>
      <c r="K363" s="192">
        <f t="shared" ref="K363:K399" si="46">G363*M363</f>
        <v>0</v>
      </c>
      <c r="L363" s="192">
        <f t="shared" ref="L363:L399" si="47">I363*M363</f>
        <v>0</v>
      </c>
      <c r="M363" s="192">
        <v>465.3</v>
      </c>
      <c r="N363" s="192">
        <f>+M363*1000/(137*4*16*60)*T363</f>
        <v>5.3067974452554747</v>
      </c>
      <c r="O363" s="192"/>
      <c r="P363" s="192">
        <f t="shared" ref="P363:P399" si="48">N363*I363+O363*U363</f>
        <v>0</v>
      </c>
      <c r="Q363" s="192"/>
      <c r="R363" s="19">
        <f t="shared" ref="R363:R399" si="49">Q363*U363</f>
        <v>0</v>
      </c>
      <c r="S363" s="192">
        <f t="shared" ref="S363:S399" si="50">R363-P363</f>
        <v>0</v>
      </c>
      <c r="T363" s="20">
        <v>6</v>
      </c>
      <c r="U363" s="20"/>
      <c r="V363" s="19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95">
        <v>300404</v>
      </c>
      <c r="B364" s="190">
        <v>18501</v>
      </c>
      <c r="C364" s="237" t="s">
        <v>150</v>
      </c>
      <c r="D364" s="238"/>
      <c r="E364" s="194" t="s">
        <v>70</v>
      </c>
      <c r="F364" s="196"/>
      <c r="G364" s="192"/>
      <c r="H364" s="192"/>
      <c r="I364" s="192"/>
      <c r="J364" s="192"/>
      <c r="K364" s="192">
        <f t="shared" si="46"/>
        <v>0</v>
      </c>
      <c r="L364" s="192">
        <f t="shared" si="47"/>
        <v>0</v>
      </c>
      <c r="M364" s="192">
        <v>465.3</v>
      </c>
      <c r="N364" s="192">
        <f>+M364*1000/(137*4*16*60)*T364</f>
        <v>5.3067974452554747</v>
      </c>
      <c r="O364" s="192"/>
      <c r="P364" s="192">
        <f t="shared" si="48"/>
        <v>0</v>
      </c>
      <c r="Q364" s="192"/>
      <c r="R364" s="19">
        <f t="shared" si="49"/>
        <v>0</v>
      </c>
      <c r="S364" s="192">
        <f t="shared" si="50"/>
        <v>0</v>
      </c>
      <c r="T364" s="20">
        <v>6</v>
      </c>
      <c r="U364" s="20"/>
      <c r="V364" s="19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95">
        <v>300405</v>
      </c>
      <c r="B365" s="190">
        <v>18501</v>
      </c>
      <c r="C365" s="237" t="s">
        <v>150</v>
      </c>
      <c r="D365" s="238"/>
      <c r="E365" s="194" t="s">
        <v>35</v>
      </c>
      <c r="F365" s="196"/>
      <c r="G365" s="192"/>
      <c r="H365" s="192"/>
      <c r="I365" s="192"/>
      <c r="J365" s="192"/>
      <c r="K365" s="192">
        <f t="shared" si="46"/>
        <v>0</v>
      </c>
      <c r="L365" s="192">
        <f t="shared" si="47"/>
        <v>0</v>
      </c>
      <c r="M365" s="192">
        <v>465.3</v>
      </c>
      <c r="N365" s="192">
        <f>+M365*1000/(137*4*16*60)*T365</f>
        <v>5.3067974452554747</v>
      </c>
      <c r="O365" s="192"/>
      <c r="P365" s="192">
        <f t="shared" si="48"/>
        <v>0</v>
      </c>
      <c r="Q365" s="192"/>
      <c r="R365" s="19">
        <f t="shared" si="49"/>
        <v>0</v>
      </c>
      <c r="S365" s="192">
        <f t="shared" si="50"/>
        <v>0</v>
      </c>
      <c r="T365" s="20">
        <v>6</v>
      </c>
      <c r="U365" s="20"/>
      <c r="V365" s="19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95">
        <v>300372</v>
      </c>
      <c r="B366" s="190">
        <v>18501</v>
      </c>
      <c r="C366" s="237" t="s">
        <v>153</v>
      </c>
      <c r="D366" s="238"/>
      <c r="E366" s="194" t="s">
        <v>47</v>
      </c>
      <c r="F366" s="196"/>
      <c r="G366" s="192"/>
      <c r="H366" s="192"/>
      <c r="I366" s="192"/>
      <c r="J366" s="192"/>
      <c r="K366" s="192">
        <f t="shared" si="46"/>
        <v>0</v>
      </c>
      <c r="L366" s="192">
        <f t="shared" si="47"/>
        <v>0</v>
      </c>
      <c r="M366" s="192">
        <v>420.58</v>
      </c>
      <c r="N366" s="192">
        <f>+M366*1000/(140*4*16*60)*T366</f>
        <v>4.6939732142857142</v>
      </c>
      <c r="O366" s="192"/>
      <c r="P366" s="192">
        <f t="shared" si="48"/>
        <v>0</v>
      </c>
      <c r="Q366" s="192"/>
      <c r="R366" s="19">
        <f t="shared" si="49"/>
        <v>0</v>
      </c>
      <c r="S366" s="192">
        <f t="shared" si="50"/>
        <v>0</v>
      </c>
      <c r="T366" s="20">
        <v>6</v>
      </c>
      <c r="U366" s="20"/>
      <c r="V366" s="19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95">
        <v>300373</v>
      </c>
      <c r="B367" s="190">
        <v>18501</v>
      </c>
      <c r="C367" s="237" t="s">
        <v>153</v>
      </c>
      <c r="D367" s="238"/>
      <c r="E367" s="194" t="s">
        <v>146</v>
      </c>
      <c r="F367" s="196"/>
      <c r="G367" s="192"/>
      <c r="H367" s="192"/>
      <c r="I367" s="192"/>
      <c r="J367" s="192"/>
      <c r="K367" s="192">
        <f t="shared" si="46"/>
        <v>0</v>
      </c>
      <c r="L367" s="192">
        <f t="shared" si="47"/>
        <v>0</v>
      </c>
      <c r="M367" s="192">
        <v>420.58</v>
      </c>
      <c r="N367" s="192">
        <f>+M367*1000/(140*4*16*60)*T367</f>
        <v>4.6939732142857142</v>
      </c>
      <c r="O367" s="192"/>
      <c r="P367" s="192">
        <f t="shared" si="48"/>
        <v>0</v>
      </c>
      <c r="Q367" s="192"/>
      <c r="R367" s="19">
        <f t="shared" si="49"/>
        <v>0</v>
      </c>
      <c r="S367" s="192">
        <f t="shared" si="50"/>
        <v>0</v>
      </c>
      <c r="T367" s="20">
        <v>6</v>
      </c>
      <c r="U367" s="20"/>
      <c r="V367" s="19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95">
        <v>300374</v>
      </c>
      <c r="B368" s="190">
        <v>18501</v>
      </c>
      <c r="C368" s="237" t="s">
        <v>153</v>
      </c>
      <c r="D368" s="238"/>
      <c r="E368" s="194" t="s">
        <v>147</v>
      </c>
      <c r="F368" s="196"/>
      <c r="G368" s="192"/>
      <c r="H368" s="192"/>
      <c r="I368" s="192"/>
      <c r="J368" s="192"/>
      <c r="K368" s="192">
        <f t="shared" si="46"/>
        <v>0</v>
      </c>
      <c r="L368" s="192">
        <f t="shared" si="47"/>
        <v>0</v>
      </c>
      <c r="M368" s="192">
        <v>420.58</v>
      </c>
      <c r="N368" s="192">
        <f>+M368*1000/(140*4*16*60)*T368</f>
        <v>4.6939732142857142</v>
      </c>
      <c r="O368" s="192"/>
      <c r="P368" s="192">
        <f t="shared" si="48"/>
        <v>0</v>
      </c>
      <c r="Q368" s="192"/>
      <c r="R368" s="19">
        <f t="shared" si="49"/>
        <v>0</v>
      </c>
      <c r="S368" s="192">
        <f t="shared" si="50"/>
        <v>0</v>
      </c>
      <c r="T368" s="20">
        <v>6</v>
      </c>
      <c r="U368" s="20"/>
      <c r="V368" s="19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95">
        <v>300375</v>
      </c>
      <c r="B369" s="190">
        <v>18501</v>
      </c>
      <c r="C369" s="237" t="s">
        <v>153</v>
      </c>
      <c r="D369" s="238"/>
      <c r="E369" s="194" t="s">
        <v>74</v>
      </c>
      <c r="F369" s="196"/>
      <c r="G369" s="192"/>
      <c r="H369" s="192"/>
      <c r="I369" s="192"/>
      <c r="J369" s="192"/>
      <c r="K369" s="192">
        <f t="shared" si="46"/>
        <v>0</v>
      </c>
      <c r="L369" s="192">
        <f t="shared" si="47"/>
        <v>0</v>
      </c>
      <c r="M369" s="192">
        <v>420.58</v>
      </c>
      <c r="N369" s="192">
        <f>+M369*1000/(140*4*16*60)*T369</f>
        <v>4.6939732142857142</v>
      </c>
      <c r="O369" s="192"/>
      <c r="P369" s="192">
        <f t="shared" si="48"/>
        <v>0</v>
      </c>
      <c r="Q369" s="192"/>
      <c r="R369" s="19">
        <f t="shared" si="49"/>
        <v>0</v>
      </c>
      <c r="S369" s="192">
        <f t="shared" si="50"/>
        <v>0</v>
      </c>
      <c r="T369" s="20">
        <v>6</v>
      </c>
      <c r="U369" s="20"/>
      <c r="V369" s="19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95">
        <v>300341</v>
      </c>
      <c r="B370" s="190">
        <v>18501</v>
      </c>
      <c r="C370" s="244" t="s">
        <v>154</v>
      </c>
      <c r="D370" s="245"/>
      <c r="E370" s="194" t="s">
        <v>39</v>
      </c>
      <c r="F370" s="196"/>
      <c r="G370" s="192"/>
      <c r="H370" s="192"/>
      <c r="I370" s="192"/>
      <c r="J370" s="192"/>
      <c r="K370" s="192">
        <f t="shared" si="46"/>
        <v>0</v>
      </c>
      <c r="L370" s="192">
        <f t="shared" si="47"/>
        <v>0</v>
      </c>
      <c r="M370" s="192">
        <v>439.3</v>
      </c>
      <c r="N370" s="192">
        <f>+M370*1000/(169.7*4*13*60)*T370</f>
        <v>4.1485351223123761</v>
      </c>
      <c r="O370" s="192"/>
      <c r="P370" s="192">
        <f t="shared" si="48"/>
        <v>0</v>
      </c>
      <c r="Q370" s="192"/>
      <c r="R370" s="19">
        <f t="shared" si="49"/>
        <v>0</v>
      </c>
      <c r="S370" s="192">
        <f t="shared" si="50"/>
        <v>0</v>
      </c>
      <c r="T370" s="20">
        <v>5</v>
      </c>
      <c r="U370" s="20"/>
      <c r="V370" s="19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95">
        <v>300342</v>
      </c>
      <c r="B371" s="190">
        <v>18501</v>
      </c>
      <c r="C371" s="244" t="s">
        <v>154</v>
      </c>
      <c r="D371" s="245"/>
      <c r="E371" s="194" t="s">
        <v>80</v>
      </c>
      <c r="F371" s="196"/>
      <c r="G371" s="192"/>
      <c r="H371" s="192"/>
      <c r="I371" s="192"/>
      <c r="J371" s="192"/>
      <c r="K371" s="192">
        <f t="shared" si="46"/>
        <v>0</v>
      </c>
      <c r="L371" s="192">
        <f t="shared" si="47"/>
        <v>0</v>
      </c>
      <c r="M371" s="192">
        <v>439.3</v>
      </c>
      <c r="N371" s="192">
        <f t="shared" ref="N371:N376" si="51">+M371*1000/(169.7*4*13*60)*T371</f>
        <v>4.1485351223123761</v>
      </c>
      <c r="O371" s="192"/>
      <c r="P371" s="192">
        <f t="shared" si="48"/>
        <v>0</v>
      </c>
      <c r="Q371" s="192"/>
      <c r="R371" s="19">
        <f t="shared" si="49"/>
        <v>0</v>
      </c>
      <c r="S371" s="192">
        <f t="shared" si="50"/>
        <v>0</v>
      </c>
      <c r="T371" s="20">
        <v>5</v>
      </c>
      <c r="U371" s="20"/>
      <c r="V371" s="19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95">
        <v>300343</v>
      </c>
      <c r="B372" s="190">
        <v>18501</v>
      </c>
      <c r="C372" s="244" t="s">
        <v>154</v>
      </c>
      <c r="D372" s="245"/>
      <c r="E372" s="194" t="s">
        <v>35</v>
      </c>
      <c r="F372" s="196"/>
      <c r="G372" s="192"/>
      <c r="H372" s="192"/>
      <c r="I372" s="192"/>
      <c r="J372" s="192"/>
      <c r="K372" s="192">
        <f t="shared" si="46"/>
        <v>0</v>
      </c>
      <c r="L372" s="192">
        <f t="shared" si="47"/>
        <v>0</v>
      </c>
      <c r="M372" s="192">
        <v>455.4</v>
      </c>
      <c r="N372" s="192">
        <f t="shared" si="51"/>
        <v>4.3005756765332483</v>
      </c>
      <c r="O372" s="192"/>
      <c r="P372" s="192">
        <f t="shared" si="48"/>
        <v>0</v>
      </c>
      <c r="Q372" s="192"/>
      <c r="R372" s="19">
        <f t="shared" si="49"/>
        <v>0</v>
      </c>
      <c r="S372" s="192">
        <f t="shared" si="50"/>
        <v>0</v>
      </c>
      <c r="T372" s="20">
        <v>5</v>
      </c>
      <c r="U372" s="20"/>
      <c r="V372" s="19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95">
        <v>300344</v>
      </c>
      <c r="B373" s="190">
        <v>18501</v>
      </c>
      <c r="C373" s="244" t="s">
        <v>154</v>
      </c>
      <c r="D373" s="245"/>
      <c r="E373" s="194" t="s">
        <v>40</v>
      </c>
      <c r="F373" s="196"/>
      <c r="G373" s="192"/>
      <c r="H373" s="192"/>
      <c r="I373" s="192"/>
      <c r="J373" s="192"/>
      <c r="K373" s="192">
        <f t="shared" si="46"/>
        <v>0</v>
      </c>
      <c r="L373" s="192">
        <f t="shared" si="47"/>
        <v>0</v>
      </c>
      <c r="M373" s="192">
        <v>455.4</v>
      </c>
      <c r="N373" s="192">
        <f t="shared" si="51"/>
        <v>4.3005756765332483</v>
      </c>
      <c r="O373" s="192"/>
      <c r="P373" s="192">
        <f t="shared" si="48"/>
        <v>0</v>
      </c>
      <c r="Q373" s="192"/>
      <c r="R373" s="19">
        <f t="shared" si="49"/>
        <v>0</v>
      </c>
      <c r="S373" s="192">
        <f t="shared" si="50"/>
        <v>0</v>
      </c>
      <c r="T373" s="20">
        <v>5</v>
      </c>
      <c r="U373" s="20"/>
      <c r="V373" s="19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95">
        <v>300396</v>
      </c>
      <c r="B374" s="190">
        <v>18501</v>
      </c>
      <c r="C374" s="244" t="s">
        <v>155</v>
      </c>
      <c r="D374" s="245"/>
      <c r="E374" s="194" t="s">
        <v>41</v>
      </c>
      <c r="F374" s="196"/>
      <c r="G374" s="192"/>
      <c r="H374" s="192"/>
      <c r="I374" s="192"/>
      <c r="J374" s="192"/>
      <c r="K374" s="192">
        <f t="shared" si="46"/>
        <v>0</v>
      </c>
      <c r="L374" s="192">
        <f t="shared" si="47"/>
        <v>0</v>
      </c>
      <c r="M374" s="192">
        <v>417.1</v>
      </c>
      <c r="N374" s="192">
        <f t="shared" si="51"/>
        <v>3.9388891407158937</v>
      </c>
      <c r="O374" s="192"/>
      <c r="P374" s="192">
        <f t="shared" si="48"/>
        <v>0</v>
      </c>
      <c r="Q374" s="192"/>
      <c r="R374" s="19">
        <f t="shared" si="49"/>
        <v>0</v>
      </c>
      <c r="S374" s="192">
        <f t="shared" si="50"/>
        <v>0</v>
      </c>
      <c r="T374" s="20">
        <v>5</v>
      </c>
      <c r="U374" s="20"/>
      <c r="V374" s="19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95">
        <v>300397</v>
      </c>
      <c r="B375" s="190">
        <v>18501</v>
      </c>
      <c r="C375" s="244" t="s">
        <v>155</v>
      </c>
      <c r="D375" s="245"/>
      <c r="E375" s="194" t="s">
        <v>66</v>
      </c>
      <c r="F375" s="196"/>
      <c r="G375" s="192"/>
      <c r="H375" s="192"/>
      <c r="I375" s="192"/>
      <c r="J375" s="192"/>
      <c r="K375" s="192">
        <f t="shared" si="46"/>
        <v>0</v>
      </c>
      <c r="L375" s="192">
        <f t="shared" si="47"/>
        <v>0</v>
      </c>
      <c r="M375" s="192">
        <v>417.1</v>
      </c>
      <c r="N375" s="192">
        <f t="shared" si="51"/>
        <v>3.9388891407158937</v>
      </c>
      <c r="O375" s="192"/>
      <c r="P375" s="192">
        <f t="shared" si="48"/>
        <v>0</v>
      </c>
      <c r="Q375" s="192"/>
      <c r="R375" s="19">
        <f t="shared" si="49"/>
        <v>0</v>
      </c>
      <c r="S375" s="192">
        <f t="shared" si="50"/>
        <v>0</v>
      </c>
      <c r="T375" s="20">
        <v>5</v>
      </c>
      <c r="U375" s="20"/>
      <c r="V375" s="19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95">
        <v>300398</v>
      </c>
      <c r="B376" s="190">
        <v>18501</v>
      </c>
      <c r="C376" s="244" t="s">
        <v>155</v>
      </c>
      <c r="D376" s="245"/>
      <c r="E376" s="194" t="s">
        <v>149</v>
      </c>
      <c r="F376" s="196"/>
      <c r="G376" s="192"/>
      <c r="H376" s="192"/>
      <c r="I376" s="192"/>
      <c r="J376" s="192"/>
      <c r="K376" s="192">
        <f t="shared" si="46"/>
        <v>0</v>
      </c>
      <c r="L376" s="192">
        <f t="shared" si="47"/>
        <v>0</v>
      </c>
      <c r="M376" s="192">
        <v>417.1</v>
      </c>
      <c r="N376" s="192">
        <f t="shared" si="51"/>
        <v>3.9388891407158937</v>
      </c>
      <c r="O376" s="192"/>
      <c r="P376" s="192">
        <f t="shared" si="48"/>
        <v>0</v>
      </c>
      <c r="Q376" s="192"/>
      <c r="R376" s="19">
        <f t="shared" si="49"/>
        <v>0</v>
      </c>
      <c r="S376" s="192">
        <f t="shared" si="50"/>
        <v>0</v>
      </c>
      <c r="T376" s="20">
        <v>5</v>
      </c>
      <c r="U376" s="20"/>
      <c r="V376" s="19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95">
        <v>300271</v>
      </c>
      <c r="B377" s="190">
        <v>18501</v>
      </c>
      <c r="C377" s="226" t="s">
        <v>156</v>
      </c>
      <c r="D377" s="226"/>
      <c r="E377" s="194" t="s">
        <v>142</v>
      </c>
      <c r="F377" s="196"/>
      <c r="G377" s="192"/>
      <c r="H377" s="192"/>
      <c r="I377" s="192"/>
      <c r="J377" s="192"/>
      <c r="K377" s="192">
        <f t="shared" si="46"/>
        <v>0</v>
      </c>
      <c r="L377" s="192">
        <f t="shared" si="47"/>
        <v>0</v>
      </c>
      <c r="M377" s="192">
        <v>580.1</v>
      </c>
      <c r="N377" s="192">
        <f>+M377*1000/(188*4*13*60)*T377</f>
        <v>4.9449331696672125</v>
      </c>
      <c r="O377" s="192"/>
      <c r="P377" s="192">
        <f t="shared" si="48"/>
        <v>0</v>
      </c>
      <c r="Q377" s="192"/>
      <c r="R377" s="19">
        <f t="shared" si="49"/>
        <v>0</v>
      </c>
      <c r="S377" s="192">
        <f t="shared" si="50"/>
        <v>0</v>
      </c>
      <c r="T377" s="20">
        <v>5</v>
      </c>
      <c r="U377" s="20"/>
      <c r="V377" s="19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95">
        <v>300009</v>
      </c>
      <c r="B378" s="190">
        <v>18501</v>
      </c>
      <c r="C378" s="226" t="s">
        <v>157</v>
      </c>
      <c r="D378" s="226" t="s">
        <v>158</v>
      </c>
      <c r="E378" s="194" t="s">
        <v>135</v>
      </c>
      <c r="F378" s="196"/>
      <c r="G378" s="192"/>
      <c r="H378" s="192"/>
      <c r="I378" s="192"/>
      <c r="J378" s="192"/>
      <c r="K378" s="192">
        <f t="shared" si="46"/>
        <v>0</v>
      </c>
      <c r="L378" s="192">
        <f t="shared" si="47"/>
        <v>0</v>
      </c>
      <c r="M378" s="15">
        <v>520.79999999999995</v>
      </c>
      <c r="N378" s="192">
        <f>+M378*1000/(188*4*13*60)*T378</f>
        <v>4.4394435351882153</v>
      </c>
      <c r="O378" s="192"/>
      <c r="P378" s="192">
        <f t="shared" si="48"/>
        <v>0</v>
      </c>
      <c r="Q378" s="192"/>
      <c r="R378" s="19">
        <f t="shared" si="49"/>
        <v>0</v>
      </c>
      <c r="S378" s="192">
        <f t="shared" si="50"/>
        <v>0</v>
      </c>
      <c r="T378" s="20">
        <v>5</v>
      </c>
      <c r="U378" s="20"/>
      <c r="V378" s="19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95">
        <v>300010</v>
      </c>
      <c r="B379" s="190">
        <v>18501</v>
      </c>
      <c r="C379" s="226" t="s">
        <v>157</v>
      </c>
      <c r="D379" s="226" t="s">
        <v>158</v>
      </c>
      <c r="E379" s="194" t="s">
        <v>80</v>
      </c>
      <c r="F379" s="196"/>
      <c r="G379" s="192"/>
      <c r="H379" s="192"/>
      <c r="I379" s="192"/>
      <c r="J379" s="115"/>
      <c r="K379" s="192">
        <f t="shared" si="46"/>
        <v>0</v>
      </c>
      <c r="L379" s="192">
        <f t="shared" si="47"/>
        <v>0</v>
      </c>
      <c r="M379" s="15">
        <v>530.9</v>
      </c>
      <c r="N379" s="192">
        <f>+M379*1000/(188*4*13*60)*T379</f>
        <v>4.5255387343153304</v>
      </c>
      <c r="O379" s="192"/>
      <c r="P379" s="192">
        <f t="shared" si="48"/>
        <v>0</v>
      </c>
      <c r="Q379" s="192"/>
      <c r="R379" s="19">
        <f t="shared" si="49"/>
        <v>0</v>
      </c>
      <c r="S379" s="192">
        <f t="shared" si="50"/>
        <v>0</v>
      </c>
      <c r="T379" s="20">
        <v>5</v>
      </c>
      <c r="U379" s="20"/>
      <c r="V379" s="19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95">
        <v>300305</v>
      </c>
      <c r="B380" s="190">
        <v>18501</v>
      </c>
      <c r="C380" s="226" t="s">
        <v>159</v>
      </c>
      <c r="D380" s="226" t="s">
        <v>160</v>
      </c>
      <c r="E380" s="194" t="s">
        <v>57</v>
      </c>
      <c r="F380" s="196"/>
      <c r="G380" s="192"/>
      <c r="H380" s="192"/>
      <c r="I380" s="192"/>
      <c r="J380" s="115"/>
      <c r="K380" s="192">
        <f t="shared" si="46"/>
        <v>0</v>
      </c>
      <c r="L380" s="192">
        <f t="shared" si="47"/>
        <v>0</v>
      </c>
      <c r="M380" s="192">
        <v>530.20000000000005</v>
      </c>
      <c r="N380" s="192">
        <f t="shared" ref="N380:N385" si="52">+M380*1000/(202*4*13*60)*T380</f>
        <v>4.2063340949479562</v>
      </c>
      <c r="O380" s="192"/>
      <c r="P380" s="192">
        <f t="shared" si="48"/>
        <v>0</v>
      </c>
      <c r="Q380" s="192"/>
      <c r="R380" s="19">
        <f t="shared" si="49"/>
        <v>0</v>
      </c>
      <c r="S380" s="192">
        <f t="shared" si="50"/>
        <v>0</v>
      </c>
      <c r="T380" s="20">
        <v>5</v>
      </c>
      <c r="U380" s="20"/>
      <c r="V380" s="19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95">
        <v>300306</v>
      </c>
      <c r="B381" s="190">
        <v>18501</v>
      </c>
      <c r="C381" s="226" t="s">
        <v>159</v>
      </c>
      <c r="D381" s="226" t="s">
        <v>160</v>
      </c>
      <c r="E381" s="194" t="s">
        <v>117</v>
      </c>
      <c r="F381" s="196"/>
      <c r="G381" s="192"/>
      <c r="H381" s="192"/>
      <c r="I381" s="192"/>
      <c r="J381" s="192"/>
      <c r="K381" s="192">
        <f t="shared" si="46"/>
        <v>0</v>
      </c>
      <c r="L381" s="192">
        <f t="shared" si="47"/>
        <v>0</v>
      </c>
      <c r="M381" s="192">
        <v>538.79999999999995</v>
      </c>
      <c r="N381" s="192">
        <f t="shared" si="52"/>
        <v>4.2745620715917747</v>
      </c>
      <c r="O381" s="192"/>
      <c r="P381" s="192">
        <f t="shared" si="48"/>
        <v>0</v>
      </c>
      <c r="Q381" s="192"/>
      <c r="R381" s="19">
        <f t="shared" si="49"/>
        <v>0</v>
      </c>
      <c r="S381" s="192">
        <f t="shared" si="50"/>
        <v>0</v>
      </c>
      <c r="T381" s="20">
        <v>5</v>
      </c>
      <c r="U381" s="20"/>
      <c r="V381" s="19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95">
        <v>300307</v>
      </c>
      <c r="B382" s="190">
        <v>18501</v>
      </c>
      <c r="C382" s="226" t="s">
        <v>159</v>
      </c>
      <c r="D382" s="226" t="s">
        <v>160</v>
      </c>
      <c r="E382" s="194" t="s">
        <v>133</v>
      </c>
      <c r="F382" s="196"/>
      <c r="G382" s="192"/>
      <c r="H382" s="192"/>
      <c r="I382" s="192"/>
      <c r="J382" s="192"/>
      <c r="K382" s="192">
        <f t="shared" si="46"/>
        <v>0</v>
      </c>
      <c r="L382" s="192">
        <f t="shared" si="47"/>
        <v>0</v>
      </c>
      <c r="M382" s="192">
        <v>569</v>
      </c>
      <c r="N382" s="192">
        <f t="shared" si="52"/>
        <v>4.5141533384107637</v>
      </c>
      <c r="O382" s="192"/>
      <c r="P382" s="192">
        <f t="shared" si="48"/>
        <v>0</v>
      </c>
      <c r="Q382" s="192"/>
      <c r="R382" s="19">
        <f t="shared" si="49"/>
        <v>0</v>
      </c>
      <c r="S382" s="192">
        <f t="shared" si="50"/>
        <v>0</v>
      </c>
      <c r="T382" s="20">
        <v>5</v>
      </c>
      <c r="U382" s="20"/>
      <c r="V382" s="19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95">
        <v>300308</v>
      </c>
      <c r="B383" s="190">
        <v>18501</v>
      </c>
      <c r="C383" s="226" t="s">
        <v>159</v>
      </c>
      <c r="D383" s="226" t="s">
        <v>160</v>
      </c>
      <c r="E383" s="194" t="s">
        <v>132</v>
      </c>
      <c r="F383" s="196"/>
      <c r="G383" s="192"/>
      <c r="H383" s="192"/>
      <c r="I383" s="192"/>
      <c r="J383" s="192"/>
      <c r="K383" s="192">
        <f t="shared" si="46"/>
        <v>0</v>
      </c>
      <c r="L383" s="192">
        <f t="shared" si="47"/>
        <v>0</v>
      </c>
      <c r="M383" s="192">
        <v>523.6</v>
      </c>
      <c r="N383" s="192">
        <f t="shared" si="52"/>
        <v>4.1539730896166542</v>
      </c>
      <c r="O383" s="192"/>
      <c r="P383" s="192">
        <f t="shared" si="48"/>
        <v>0</v>
      </c>
      <c r="Q383" s="192"/>
      <c r="R383" s="19">
        <f t="shared" si="49"/>
        <v>0</v>
      </c>
      <c r="S383" s="192">
        <f t="shared" si="50"/>
        <v>0</v>
      </c>
      <c r="T383" s="20">
        <v>5</v>
      </c>
      <c r="U383" s="20"/>
      <c r="V383" s="19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95">
        <v>300182</v>
      </c>
      <c r="B384" s="190">
        <v>18501</v>
      </c>
      <c r="C384" s="226" t="s">
        <v>161</v>
      </c>
      <c r="D384" s="226" t="s">
        <v>160</v>
      </c>
      <c r="E384" s="194" t="s">
        <v>80</v>
      </c>
      <c r="F384" s="196"/>
      <c r="G384" s="192"/>
      <c r="H384" s="192"/>
      <c r="I384" s="192"/>
      <c r="J384" s="192"/>
      <c r="K384" s="192">
        <f t="shared" si="46"/>
        <v>0</v>
      </c>
      <c r="L384" s="192">
        <f t="shared" si="47"/>
        <v>0</v>
      </c>
      <c r="M384" s="192">
        <v>649.1</v>
      </c>
      <c r="N384" s="192">
        <f t="shared" si="52"/>
        <v>5.1496255394770252</v>
      </c>
      <c r="O384" s="192"/>
      <c r="P384" s="192">
        <f t="shared" si="48"/>
        <v>0</v>
      </c>
      <c r="Q384" s="192"/>
      <c r="R384" s="19">
        <f t="shared" si="49"/>
        <v>0</v>
      </c>
      <c r="S384" s="192">
        <f t="shared" si="50"/>
        <v>0</v>
      </c>
      <c r="T384" s="20">
        <v>5</v>
      </c>
      <c r="U384" s="20"/>
      <c r="V384" s="19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95">
        <v>300185</v>
      </c>
      <c r="B385" s="190">
        <v>18501</v>
      </c>
      <c r="C385" s="226" t="s">
        <v>161</v>
      </c>
      <c r="D385" s="226" t="s">
        <v>160</v>
      </c>
      <c r="E385" s="194" t="s">
        <v>135</v>
      </c>
      <c r="F385" s="196"/>
      <c r="G385" s="192"/>
      <c r="H385" s="192"/>
      <c r="I385" s="192"/>
      <c r="J385" s="192"/>
      <c r="K385" s="192">
        <f t="shared" si="46"/>
        <v>0</v>
      </c>
      <c r="L385" s="192">
        <f t="shared" si="47"/>
        <v>0</v>
      </c>
      <c r="M385" s="192">
        <v>638</v>
      </c>
      <c r="N385" s="192">
        <f t="shared" si="52"/>
        <v>6.0738766184310737</v>
      </c>
      <c r="O385" s="192"/>
      <c r="P385" s="192">
        <f t="shared" si="48"/>
        <v>0</v>
      </c>
      <c r="Q385" s="192"/>
      <c r="R385" s="19">
        <f t="shared" si="49"/>
        <v>0</v>
      </c>
      <c r="S385" s="192">
        <f t="shared" si="50"/>
        <v>0</v>
      </c>
      <c r="T385" s="20">
        <v>6</v>
      </c>
      <c r="U385" s="20"/>
      <c r="V385" s="19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95">
        <v>300272</v>
      </c>
      <c r="B386" s="190">
        <v>18502</v>
      </c>
      <c r="C386" s="226" t="s">
        <v>162</v>
      </c>
      <c r="D386" s="226"/>
      <c r="E386" s="194" t="s">
        <v>42</v>
      </c>
      <c r="F386" s="196"/>
      <c r="G386" s="192"/>
      <c r="H386" s="192"/>
      <c r="I386" s="192"/>
      <c r="J386" s="192"/>
      <c r="K386" s="192">
        <f t="shared" si="46"/>
        <v>0</v>
      </c>
      <c r="L386" s="192">
        <f t="shared" si="47"/>
        <v>0</v>
      </c>
      <c r="M386" s="192">
        <v>523.9</v>
      </c>
      <c r="N386" s="192">
        <f>+M386*1000/(128*4*13*60)*T386</f>
        <v>5.247395833333333</v>
      </c>
      <c r="O386" s="192"/>
      <c r="P386" s="192">
        <f t="shared" si="48"/>
        <v>0</v>
      </c>
      <c r="Q386" s="192"/>
      <c r="R386" s="19">
        <f t="shared" si="49"/>
        <v>0</v>
      </c>
      <c r="S386" s="192">
        <f t="shared" si="50"/>
        <v>0</v>
      </c>
      <c r="T386" s="20">
        <v>4</v>
      </c>
      <c r="U386" s="20"/>
      <c r="V386" s="19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95">
        <v>300273</v>
      </c>
      <c r="B387" s="190">
        <v>18502</v>
      </c>
      <c r="C387" s="226" t="s">
        <v>162</v>
      </c>
      <c r="D387" s="226"/>
      <c r="E387" s="194" t="s">
        <v>163</v>
      </c>
      <c r="F387" s="196"/>
      <c r="G387" s="192"/>
      <c r="H387" s="192"/>
      <c r="I387" s="192"/>
      <c r="J387" s="192"/>
      <c r="K387" s="192">
        <f t="shared" si="46"/>
        <v>0</v>
      </c>
      <c r="L387" s="192">
        <f t="shared" si="47"/>
        <v>0</v>
      </c>
      <c r="M387" s="192">
        <v>523.9</v>
      </c>
      <c r="N387" s="192">
        <f>+M387*1000/(128*4*13*60)*T387</f>
        <v>6.5592447916666661</v>
      </c>
      <c r="O387" s="192"/>
      <c r="P387" s="192">
        <f t="shared" si="48"/>
        <v>0</v>
      </c>
      <c r="Q387" s="192"/>
      <c r="R387" s="19">
        <f t="shared" si="49"/>
        <v>0</v>
      </c>
      <c r="S387" s="192">
        <f t="shared" si="50"/>
        <v>0</v>
      </c>
      <c r="T387" s="20">
        <v>5</v>
      </c>
      <c r="U387" s="20"/>
      <c r="V387" s="19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95">
        <v>300274</v>
      </c>
      <c r="B388" s="190">
        <v>18502</v>
      </c>
      <c r="C388" s="226" t="s">
        <v>162</v>
      </c>
      <c r="D388" s="226"/>
      <c r="E388" s="194" t="s">
        <v>146</v>
      </c>
      <c r="F388" s="196"/>
      <c r="G388" s="192"/>
      <c r="H388" s="192"/>
      <c r="I388" s="192"/>
      <c r="J388" s="192"/>
      <c r="K388" s="192">
        <f t="shared" si="46"/>
        <v>0</v>
      </c>
      <c r="L388" s="192">
        <f t="shared" si="47"/>
        <v>0</v>
      </c>
      <c r="M388" s="192">
        <v>523.9</v>
      </c>
      <c r="N388" s="192">
        <f>+M388*1000/(128*4*13*60)*T388</f>
        <v>5.247395833333333</v>
      </c>
      <c r="O388" s="192"/>
      <c r="P388" s="192">
        <f t="shared" si="48"/>
        <v>0</v>
      </c>
      <c r="Q388" s="192"/>
      <c r="R388" s="19">
        <f t="shared" si="49"/>
        <v>0</v>
      </c>
      <c r="S388" s="192">
        <f t="shared" si="50"/>
        <v>0</v>
      </c>
      <c r="T388" s="20">
        <v>4</v>
      </c>
      <c r="U388" s="20"/>
      <c r="V388" s="19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95">
        <v>300275</v>
      </c>
      <c r="B389" s="190">
        <v>18502</v>
      </c>
      <c r="C389" s="226" t="s">
        <v>162</v>
      </c>
      <c r="D389" s="226"/>
      <c r="E389" s="194" t="s">
        <v>164</v>
      </c>
      <c r="F389" s="196"/>
      <c r="G389" s="192"/>
      <c r="H389" s="192"/>
      <c r="I389" s="192"/>
      <c r="J389" s="192"/>
      <c r="K389" s="192">
        <f t="shared" si="46"/>
        <v>0</v>
      </c>
      <c r="L389" s="192">
        <f t="shared" si="47"/>
        <v>0</v>
      </c>
      <c r="M389" s="192">
        <v>523.9</v>
      </c>
      <c r="N389" s="192">
        <f>+M389*1000/(128*4*13*60)*T389</f>
        <v>5.247395833333333</v>
      </c>
      <c r="O389" s="192"/>
      <c r="P389" s="192">
        <f t="shared" si="48"/>
        <v>0</v>
      </c>
      <c r="Q389" s="192"/>
      <c r="R389" s="19">
        <f t="shared" si="49"/>
        <v>0</v>
      </c>
      <c r="S389" s="192">
        <f t="shared" si="50"/>
        <v>0</v>
      </c>
      <c r="T389" s="20">
        <v>4</v>
      </c>
      <c r="U389" s="20"/>
      <c r="V389" s="19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95">
        <v>300285</v>
      </c>
      <c r="B390" s="190">
        <v>13001</v>
      </c>
      <c r="C390" s="226" t="s">
        <v>165</v>
      </c>
      <c r="D390" s="226"/>
      <c r="E390" s="194" t="s">
        <v>37</v>
      </c>
      <c r="F390" s="196"/>
      <c r="G390" s="192"/>
      <c r="H390" s="192"/>
      <c r="I390" s="192"/>
      <c r="J390" s="192"/>
      <c r="K390" s="192">
        <f t="shared" si="46"/>
        <v>0</v>
      </c>
      <c r="L390" s="192">
        <f t="shared" si="47"/>
        <v>0</v>
      </c>
      <c r="M390" s="192">
        <v>438.7</v>
      </c>
      <c r="N390" s="192">
        <f t="shared" ref="N390:N395" si="53">+M390*1000/(90*4*18*60)*T390</f>
        <v>5.6417181069958842</v>
      </c>
      <c r="O390" s="192"/>
      <c r="P390" s="192">
        <f t="shared" si="48"/>
        <v>0</v>
      </c>
      <c r="Q390" s="192"/>
      <c r="R390" s="19">
        <f t="shared" si="49"/>
        <v>0</v>
      </c>
      <c r="S390" s="192">
        <f t="shared" si="50"/>
        <v>0</v>
      </c>
      <c r="T390" s="20">
        <v>5</v>
      </c>
      <c r="U390" s="20"/>
      <c r="V390" s="19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95">
        <v>300287</v>
      </c>
      <c r="B391" s="190">
        <v>13001</v>
      </c>
      <c r="C391" s="226" t="s">
        <v>165</v>
      </c>
      <c r="D391" s="226"/>
      <c r="E391" s="194" t="s">
        <v>57</v>
      </c>
      <c r="F391" s="196"/>
      <c r="G391" s="192"/>
      <c r="H391" s="192"/>
      <c r="I391" s="192"/>
      <c r="J391" s="192"/>
      <c r="K391" s="192">
        <f t="shared" si="46"/>
        <v>0</v>
      </c>
      <c r="L391" s="192">
        <f t="shared" si="47"/>
        <v>0</v>
      </c>
      <c r="M391" s="192">
        <v>438.7</v>
      </c>
      <c r="N391" s="192">
        <f t="shared" si="53"/>
        <v>5.6417181069958842</v>
      </c>
      <c r="O391" s="192"/>
      <c r="P391" s="192">
        <f t="shared" si="48"/>
        <v>0</v>
      </c>
      <c r="Q391" s="192"/>
      <c r="R391" s="19">
        <f t="shared" si="49"/>
        <v>0</v>
      </c>
      <c r="S391" s="192">
        <f t="shared" si="50"/>
        <v>0</v>
      </c>
      <c r="T391" s="20">
        <v>5</v>
      </c>
      <c r="U391" s="20"/>
      <c r="V391" s="19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95">
        <v>300284</v>
      </c>
      <c r="B392" s="190">
        <v>13001</v>
      </c>
      <c r="C392" s="226" t="s">
        <v>165</v>
      </c>
      <c r="D392" s="226"/>
      <c r="E392" s="194" t="s">
        <v>41</v>
      </c>
      <c r="F392" s="196"/>
      <c r="G392" s="192"/>
      <c r="H392" s="192"/>
      <c r="I392" s="192"/>
      <c r="J392" s="192"/>
      <c r="K392" s="192">
        <f t="shared" si="46"/>
        <v>0</v>
      </c>
      <c r="L392" s="192">
        <f t="shared" si="47"/>
        <v>0</v>
      </c>
      <c r="M392" s="192">
        <v>438.7</v>
      </c>
      <c r="N392" s="192">
        <f t="shared" si="53"/>
        <v>5.6417181069958842</v>
      </c>
      <c r="O392" s="192"/>
      <c r="P392" s="192">
        <f t="shared" si="48"/>
        <v>0</v>
      </c>
      <c r="Q392" s="192"/>
      <c r="R392" s="19">
        <f t="shared" si="49"/>
        <v>0</v>
      </c>
      <c r="S392" s="192">
        <f t="shared" si="50"/>
        <v>0</v>
      </c>
      <c r="T392" s="20">
        <v>5</v>
      </c>
      <c r="U392" s="20"/>
      <c r="V392" s="19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95">
        <v>300283</v>
      </c>
      <c r="B393" s="190">
        <v>13001</v>
      </c>
      <c r="C393" s="226" t="s">
        <v>165</v>
      </c>
      <c r="D393" s="226"/>
      <c r="E393" s="194" t="s">
        <v>35</v>
      </c>
      <c r="F393" s="196"/>
      <c r="G393" s="192"/>
      <c r="H393" s="192"/>
      <c r="I393" s="192"/>
      <c r="J393" s="205"/>
      <c r="K393" s="205">
        <f t="shared" si="46"/>
        <v>0</v>
      </c>
      <c r="L393" s="205">
        <f t="shared" si="47"/>
        <v>0</v>
      </c>
      <c r="M393" s="192">
        <v>438.7</v>
      </c>
      <c r="N393" s="192">
        <f t="shared" si="53"/>
        <v>5.6417181069958842</v>
      </c>
      <c r="O393" s="205"/>
      <c r="P393" s="192">
        <f t="shared" si="48"/>
        <v>0</v>
      </c>
      <c r="Q393" s="192"/>
      <c r="R393" s="19">
        <f t="shared" si="49"/>
        <v>0</v>
      </c>
      <c r="S393" s="192">
        <f t="shared" si="50"/>
        <v>0</v>
      </c>
      <c r="T393" s="20">
        <v>5</v>
      </c>
      <c r="U393" s="20"/>
      <c r="V393" s="19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95">
        <v>300289</v>
      </c>
      <c r="B394" s="190">
        <v>13001</v>
      </c>
      <c r="C394" s="226" t="s">
        <v>165</v>
      </c>
      <c r="D394" s="226"/>
      <c r="E394" s="194" t="s">
        <v>66</v>
      </c>
      <c r="F394" s="196"/>
      <c r="G394" s="205"/>
      <c r="H394" s="205"/>
      <c r="I394" s="205"/>
      <c r="J394" s="116"/>
      <c r="K394" s="205">
        <f t="shared" si="46"/>
        <v>0</v>
      </c>
      <c r="L394" s="205">
        <f t="shared" si="47"/>
        <v>0</v>
      </c>
      <c r="M394" s="192">
        <v>438.7</v>
      </c>
      <c r="N394" s="192">
        <f t="shared" si="53"/>
        <v>5.6417181069958842</v>
      </c>
      <c r="O394" s="205"/>
      <c r="P394" s="192">
        <f t="shared" si="48"/>
        <v>0</v>
      </c>
      <c r="Q394" s="192"/>
      <c r="R394" s="19">
        <f t="shared" si="49"/>
        <v>0</v>
      </c>
      <c r="S394" s="192">
        <f t="shared" si="50"/>
        <v>0</v>
      </c>
      <c r="T394" s="20">
        <v>5</v>
      </c>
      <c r="U394" s="20"/>
      <c r="V394" s="19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95">
        <v>300288</v>
      </c>
      <c r="B395" s="190">
        <v>13001</v>
      </c>
      <c r="C395" s="226" t="s">
        <v>165</v>
      </c>
      <c r="D395" s="226"/>
      <c r="E395" s="194" t="s">
        <v>166</v>
      </c>
      <c r="F395" s="196"/>
      <c r="G395" s="201"/>
      <c r="H395" s="192"/>
      <c r="I395" s="192"/>
      <c r="J395" s="192"/>
      <c r="K395" s="192">
        <f t="shared" si="46"/>
        <v>0</v>
      </c>
      <c r="L395" s="192">
        <f t="shared" si="47"/>
        <v>0</v>
      </c>
      <c r="M395" s="192">
        <v>438.7</v>
      </c>
      <c r="N395" s="192">
        <f t="shared" si="53"/>
        <v>5.6417181069958842</v>
      </c>
      <c r="O395" s="192"/>
      <c r="P395" s="192">
        <f t="shared" si="48"/>
        <v>0</v>
      </c>
      <c r="Q395" s="192"/>
      <c r="R395" s="19">
        <f t="shared" si="49"/>
        <v>0</v>
      </c>
      <c r="S395" s="192">
        <f t="shared" si="50"/>
        <v>0</v>
      </c>
      <c r="T395" s="20">
        <v>5</v>
      </c>
      <c r="U395" s="20"/>
      <c r="V395" s="19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99">
        <v>300355</v>
      </c>
      <c r="B396" s="124">
        <v>13001</v>
      </c>
      <c r="C396" s="240" t="s">
        <v>168</v>
      </c>
      <c r="D396" s="241"/>
      <c r="E396" s="53" t="s">
        <v>35</v>
      </c>
      <c r="F396" s="196"/>
      <c r="G396" s="201"/>
      <c r="H396" s="192"/>
      <c r="I396" s="192"/>
      <c r="J396" s="192"/>
      <c r="K396" s="205">
        <f t="shared" si="46"/>
        <v>0</v>
      </c>
      <c r="L396" s="192">
        <f t="shared" si="47"/>
        <v>0</v>
      </c>
      <c r="M396" s="192">
        <v>438</v>
      </c>
      <c r="N396" s="192">
        <f>+M396*1000/(110*4*18*60)*T396</f>
        <v>4.6085858585858581</v>
      </c>
      <c r="O396" s="192"/>
      <c r="P396" s="192">
        <f t="shared" si="48"/>
        <v>0</v>
      </c>
      <c r="Q396" s="192"/>
      <c r="R396" s="19">
        <f t="shared" si="49"/>
        <v>0</v>
      </c>
      <c r="S396" s="192">
        <f t="shared" si="50"/>
        <v>0</v>
      </c>
      <c r="T396" s="20">
        <v>5</v>
      </c>
      <c r="U396" s="20"/>
      <c r="V396" s="19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99">
        <v>300356</v>
      </c>
      <c r="B397" s="124">
        <v>13001</v>
      </c>
      <c r="C397" s="240" t="s">
        <v>168</v>
      </c>
      <c r="D397" s="241"/>
      <c r="E397" s="54" t="s">
        <v>41</v>
      </c>
      <c r="F397" s="196"/>
      <c r="G397" s="201"/>
      <c r="H397" s="192"/>
      <c r="I397" s="192"/>
      <c r="J397" s="192"/>
      <c r="K397" s="205">
        <f t="shared" si="46"/>
        <v>0</v>
      </c>
      <c r="L397" s="192">
        <f t="shared" si="47"/>
        <v>0</v>
      </c>
      <c r="M397" s="192">
        <v>438</v>
      </c>
      <c r="N397" s="192">
        <f>+M397*1000/(110*4*18*60)*T397</f>
        <v>4.6085858585858581</v>
      </c>
      <c r="O397" s="192"/>
      <c r="P397" s="192">
        <f t="shared" si="48"/>
        <v>0</v>
      </c>
      <c r="Q397" s="192"/>
      <c r="R397" s="19">
        <f t="shared" si="49"/>
        <v>0</v>
      </c>
      <c r="S397" s="192">
        <f t="shared" si="50"/>
        <v>0</v>
      </c>
      <c r="T397" s="20">
        <v>5</v>
      </c>
      <c r="U397" s="20"/>
      <c r="V397" s="19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99">
        <v>300357</v>
      </c>
      <c r="B398" s="190" t="s">
        <v>170</v>
      </c>
      <c r="C398" s="237" t="s">
        <v>168</v>
      </c>
      <c r="D398" s="238"/>
      <c r="E398" s="191" t="s">
        <v>37</v>
      </c>
      <c r="F398" s="13"/>
      <c r="G398" s="201"/>
      <c r="H398" s="192"/>
      <c r="I398" s="192"/>
      <c r="J398" s="192"/>
      <c r="K398" s="205">
        <f t="shared" si="46"/>
        <v>0</v>
      </c>
      <c r="L398" s="192">
        <f t="shared" si="47"/>
        <v>0</v>
      </c>
      <c r="M398" s="192">
        <v>438</v>
      </c>
      <c r="N398" s="15">
        <f>+M398*1000/(110*4*18*60)*T398</f>
        <v>4.6085858585858581</v>
      </c>
      <c r="O398" s="192"/>
      <c r="P398" s="192">
        <f t="shared" si="48"/>
        <v>0</v>
      </c>
      <c r="Q398" s="192"/>
      <c r="R398" s="19">
        <f t="shared" si="49"/>
        <v>0</v>
      </c>
      <c r="S398" s="192">
        <f t="shared" si="50"/>
        <v>0</v>
      </c>
      <c r="T398" s="20">
        <v>5</v>
      </c>
      <c r="U398" s="20"/>
      <c r="V398" s="19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99">
        <v>300358</v>
      </c>
      <c r="B399" s="190" t="s">
        <v>171</v>
      </c>
      <c r="C399" s="237" t="s">
        <v>168</v>
      </c>
      <c r="D399" s="238"/>
      <c r="E399" s="191" t="s">
        <v>66</v>
      </c>
      <c r="F399" s="13"/>
      <c r="G399" s="201"/>
      <c r="H399" s="192"/>
      <c r="I399" s="192"/>
      <c r="J399" s="192"/>
      <c r="K399" s="205">
        <f t="shared" si="46"/>
        <v>0</v>
      </c>
      <c r="L399" s="192">
        <f t="shared" si="47"/>
        <v>0</v>
      </c>
      <c r="M399" s="192">
        <v>438</v>
      </c>
      <c r="N399" s="15">
        <f>+M399*1000/(110*4*18*60)*T399</f>
        <v>4.6085858585858581</v>
      </c>
      <c r="O399" s="192"/>
      <c r="P399" s="192">
        <f t="shared" si="48"/>
        <v>0</v>
      </c>
      <c r="Q399" s="192"/>
      <c r="R399" s="19">
        <f t="shared" si="49"/>
        <v>0</v>
      </c>
      <c r="S399" s="192">
        <f t="shared" si="50"/>
        <v>0</v>
      </c>
      <c r="T399" s="20">
        <v>5</v>
      </c>
      <c r="U399" s="20"/>
      <c r="V399" s="19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95">
        <v>300438</v>
      </c>
      <c r="B400" s="190" t="s">
        <v>87</v>
      </c>
      <c r="C400" s="226" t="s">
        <v>312</v>
      </c>
      <c r="D400" s="226" t="s">
        <v>89</v>
      </c>
      <c r="E400" s="194" t="s">
        <v>35</v>
      </c>
      <c r="F400" s="13"/>
      <c r="G400" s="110"/>
      <c r="H400" s="110"/>
      <c r="I400" s="110"/>
      <c r="J400" s="110"/>
      <c r="K400" s="192">
        <f>G400*M400</f>
        <v>0</v>
      </c>
      <c r="L400" s="192">
        <f>I400*M400</f>
        <v>0</v>
      </c>
      <c r="M400" s="192">
        <v>336.6</v>
      </c>
      <c r="N400" s="192">
        <f>+M400*1000/(45*10*18*60)*T400</f>
        <v>1.3851851851851851</v>
      </c>
      <c r="O400" s="192"/>
      <c r="P400" s="192">
        <f>N400*I400+O400*U400</f>
        <v>0</v>
      </c>
      <c r="Q400" s="192"/>
      <c r="R400" s="19">
        <f>Q400*U400</f>
        <v>0</v>
      </c>
      <c r="S400" s="192">
        <f>R400-P400</f>
        <v>0</v>
      </c>
      <c r="T400" s="20">
        <v>2</v>
      </c>
      <c r="U400" s="20"/>
      <c r="V400" s="19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95">
        <v>300439</v>
      </c>
      <c r="B401" s="190" t="s">
        <v>87</v>
      </c>
      <c r="C401" s="226" t="s">
        <v>312</v>
      </c>
      <c r="D401" s="226" t="s">
        <v>89</v>
      </c>
      <c r="E401" s="194" t="s">
        <v>66</v>
      </c>
      <c r="F401" s="13"/>
      <c r="G401" s="110"/>
      <c r="H401" s="110"/>
      <c r="I401" s="110"/>
      <c r="J401" s="110"/>
      <c r="K401" s="192">
        <f>G401*M401</f>
        <v>0</v>
      </c>
      <c r="L401" s="192">
        <f>I401*M401</f>
        <v>0</v>
      </c>
      <c r="M401" s="192">
        <v>336.6</v>
      </c>
      <c r="N401" s="192">
        <f>+M401*1000/(45*10*18*60)*T401</f>
        <v>1.3851851851851851</v>
      </c>
      <c r="O401" s="192"/>
      <c r="P401" s="192">
        <f>N401*I401+O401*U401</f>
        <v>0</v>
      </c>
      <c r="Q401" s="192"/>
      <c r="R401" s="19">
        <f>Q401*U401</f>
        <v>0</v>
      </c>
      <c r="S401" s="192">
        <f>R401-P401</f>
        <v>0</v>
      </c>
      <c r="T401" s="20">
        <v>2</v>
      </c>
      <c r="U401" s="20"/>
      <c r="V401" s="19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95">
        <v>300440</v>
      </c>
      <c r="B402" s="190" t="s">
        <v>87</v>
      </c>
      <c r="C402" s="226" t="s">
        <v>312</v>
      </c>
      <c r="D402" s="226" t="s">
        <v>89</v>
      </c>
      <c r="E402" s="194" t="s">
        <v>41</v>
      </c>
      <c r="F402" s="13"/>
      <c r="G402" s="110"/>
      <c r="H402" s="110"/>
      <c r="I402" s="110"/>
      <c r="J402" s="110"/>
      <c r="K402" s="192">
        <f>G402*M402</f>
        <v>0</v>
      </c>
      <c r="L402" s="192">
        <f>I402*M402</f>
        <v>0</v>
      </c>
      <c r="M402" s="192">
        <v>336.6</v>
      </c>
      <c r="N402" s="192">
        <f>+M402*1000/(45*10*18*60)*T402</f>
        <v>1.3851851851851851</v>
      </c>
      <c r="O402" s="192"/>
      <c r="P402" s="192">
        <f>N402*I402+O402*U402</f>
        <v>0</v>
      </c>
      <c r="Q402" s="192"/>
      <c r="R402" s="19">
        <f>Q402*U402</f>
        <v>0</v>
      </c>
      <c r="S402" s="192">
        <f>R402-P402</f>
        <v>0</v>
      </c>
      <c r="T402" s="20">
        <v>2</v>
      </c>
      <c r="U402" s="20"/>
      <c r="V402" s="19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95">
        <v>300441</v>
      </c>
      <c r="B403" s="190" t="s">
        <v>87</v>
      </c>
      <c r="C403" s="226" t="s">
        <v>312</v>
      </c>
      <c r="D403" s="226" t="s">
        <v>89</v>
      </c>
      <c r="E403" s="194" t="s">
        <v>37</v>
      </c>
      <c r="F403" s="13"/>
      <c r="G403" s="110"/>
      <c r="H403" s="110"/>
      <c r="I403" s="110"/>
      <c r="J403" s="110"/>
      <c r="K403" s="192">
        <f>G403*M403</f>
        <v>0</v>
      </c>
      <c r="L403" s="192">
        <f>I403*M403</f>
        <v>0</v>
      </c>
      <c r="M403" s="192">
        <v>336.6</v>
      </c>
      <c r="N403" s="192">
        <f>+M403*1000/(45*10*18*60)*T403</f>
        <v>1.3851851851851851</v>
      </c>
      <c r="O403" s="192"/>
      <c r="P403" s="192">
        <f>N403*I403+O403*U403</f>
        <v>0</v>
      </c>
      <c r="Q403" s="192"/>
      <c r="R403" s="19">
        <f>Q403*U403</f>
        <v>0</v>
      </c>
      <c r="S403" s="192">
        <f>R403-P403</f>
        <v>0</v>
      </c>
      <c r="T403" s="20">
        <v>2</v>
      </c>
      <c r="U403" s="20"/>
      <c r="V403" s="19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99">
        <v>300406</v>
      </c>
      <c r="B404" s="190" t="s">
        <v>171</v>
      </c>
      <c r="C404" s="237" t="s">
        <v>172</v>
      </c>
      <c r="D404" s="238"/>
      <c r="E404" s="191" t="s">
        <v>149</v>
      </c>
      <c r="F404" s="27"/>
      <c r="G404" s="201"/>
      <c r="H404" s="192"/>
      <c r="I404" s="192"/>
      <c r="J404" s="192"/>
      <c r="K404" s="205">
        <f t="shared" ref="K404:K407" si="54">G404*M404</f>
        <v>0</v>
      </c>
      <c r="L404" s="192">
        <f t="shared" ref="L404:L407" si="55">I404*M404</f>
        <v>0</v>
      </c>
      <c r="M404" s="192">
        <v>628.29999999999995</v>
      </c>
      <c r="N404" s="15">
        <f>+M404*1000/(132*4*18*60)*T404</f>
        <v>5.5090838945005611</v>
      </c>
      <c r="O404" s="192"/>
      <c r="P404" s="192">
        <f t="shared" ref="P404:P407" si="56">N404*I404+O404*U404</f>
        <v>0</v>
      </c>
      <c r="Q404" s="192"/>
      <c r="R404" s="19">
        <f t="shared" ref="R404:R407" si="57">Q404*U404</f>
        <v>0</v>
      </c>
      <c r="S404" s="192">
        <f t="shared" ref="S404:S407" si="58">R404-P404</f>
        <v>0</v>
      </c>
      <c r="T404" s="20">
        <v>5</v>
      </c>
      <c r="U404" s="20"/>
      <c r="V404" s="19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99">
        <v>300407</v>
      </c>
      <c r="B405" s="190" t="s">
        <v>171</v>
      </c>
      <c r="C405" s="237" t="s">
        <v>172</v>
      </c>
      <c r="D405" s="238"/>
      <c r="E405" s="191" t="s">
        <v>173</v>
      </c>
      <c r="F405" s="27"/>
      <c r="G405" s="201"/>
      <c r="H405" s="192"/>
      <c r="I405" s="192"/>
      <c r="J405" s="192"/>
      <c r="K405" s="205">
        <f t="shared" si="54"/>
        <v>0</v>
      </c>
      <c r="L405" s="192">
        <f t="shared" si="55"/>
        <v>0</v>
      </c>
      <c r="M405" s="192">
        <v>628.29999999999995</v>
      </c>
      <c r="N405" s="15">
        <f>+M405*1000/(132*4*18*60)*T405</f>
        <v>5.5090838945005611</v>
      </c>
      <c r="O405" s="192"/>
      <c r="P405" s="192">
        <f t="shared" si="56"/>
        <v>0</v>
      </c>
      <c r="Q405" s="192"/>
      <c r="R405" s="19">
        <f t="shared" si="57"/>
        <v>0</v>
      </c>
      <c r="S405" s="192">
        <f t="shared" si="58"/>
        <v>0</v>
      </c>
      <c r="T405" s="20">
        <v>5</v>
      </c>
      <c r="U405" s="20"/>
      <c r="V405" s="19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99">
        <v>300408</v>
      </c>
      <c r="B406" s="190" t="s">
        <v>171</v>
      </c>
      <c r="C406" s="237" t="s">
        <v>172</v>
      </c>
      <c r="D406" s="238"/>
      <c r="E406" s="191" t="s">
        <v>41</v>
      </c>
      <c r="F406" s="27"/>
      <c r="G406" s="201"/>
      <c r="H406" s="192"/>
      <c r="I406" s="192"/>
      <c r="J406" s="192"/>
      <c r="K406" s="205">
        <f t="shared" si="54"/>
        <v>0</v>
      </c>
      <c r="L406" s="192">
        <f t="shared" si="55"/>
        <v>0</v>
      </c>
      <c r="M406" s="192">
        <v>628.29999999999995</v>
      </c>
      <c r="N406" s="15">
        <f>+M406*1000/(132*4*18*60)*T406</f>
        <v>5.5090838945005611</v>
      </c>
      <c r="O406" s="192"/>
      <c r="P406" s="192">
        <f t="shared" si="56"/>
        <v>0</v>
      </c>
      <c r="Q406" s="192"/>
      <c r="R406" s="19">
        <f t="shared" si="57"/>
        <v>0</v>
      </c>
      <c r="S406" s="192">
        <f t="shared" si="58"/>
        <v>0</v>
      </c>
      <c r="T406" s="20">
        <v>5</v>
      </c>
      <c r="U406" s="20"/>
      <c r="V406" s="19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99">
        <v>300409</v>
      </c>
      <c r="B407" s="190" t="s">
        <v>171</v>
      </c>
      <c r="C407" s="237" t="s">
        <v>172</v>
      </c>
      <c r="D407" s="238"/>
      <c r="E407" s="191" t="s">
        <v>174</v>
      </c>
      <c r="F407" s="27"/>
      <c r="G407" s="201"/>
      <c r="H407" s="192"/>
      <c r="I407" s="192"/>
      <c r="J407" s="192"/>
      <c r="K407" s="205">
        <f t="shared" si="54"/>
        <v>0</v>
      </c>
      <c r="L407" s="192">
        <f t="shared" si="55"/>
        <v>0</v>
      </c>
      <c r="M407" s="192">
        <v>628.29999999999995</v>
      </c>
      <c r="N407" s="15">
        <f>+M407*1000/(132*4*18*60)*T407</f>
        <v>5.5090838945005611</v>
      </c>
      <c r="O407" s="192"/>
      <c r="P407" s="192">
        <f t="shared" si="56"/>
        <v>0</v>
      </c>
      <c r="Q407" s="192"/>
      <c r="R407" s="19">
        <f t="shared" si="57"/>
        <v>0</v>
      </c>
      <c r="S407" s="192">
        <f t="shared" si="58"/>
        <v>0</v>
      </c>
      <c r="T407" s="20">
        <v>5</v>
      </c>
      <c r="U407" s="20"/>
      <c r="V407" s="19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92">
        <f t="array" ref="G408">SUM(IF(ISERROR(G215:G407),“”,G215:G407))</f>
        <v>0</v>
      </c>
      <c r="H408" s="192">
        <f t="array" ref="H408">SUM(IF(ISERROR(H215:H407),“”,H215:H407))</f>
        <v>0</v>
      </c>
      <c r="I408" s="192">
        <f t="array" ref="I408">SUM(IF(ISERROR(I215:I407),“”,I215:I407))</f>
        <v>0</v>
      </c>
      <c r="J408" s="192">
        <f t="array" ref="J408">SUM(IF(ISERROR(J215:J407),“”,J215:J407))</f>
        <v>0</v>
      </c>
      <c r="K408" s="192">
        <f t="array" ref="K408">SUM(IF(ISERROR(K215:K407),“”,K215:K407))</f>
        <v>0</v>
      </c>
      <c r="L408" s="117">
        <f>SUM(L215:L399)</f>
        <v>0</v>
      </c>
      <c r="M408" s="192"/>
      <c r="N408" s="192"/>
      <c r="O408" s="192">
        <f t="array" ref="O408">SUM(IF(ISERROR(O215:O407),“”,O215:O407))</f>
        <v>0</v>
      </c>
      <c r="P408" s="56">
        <f>SUM((P215:P399),(W413:X418))</f>
        <v>0</v>
      </c>
      <c r="Q408" s="192"/>
      <c r="R408" s="56">
        <f>SUM((R215:R399),(Y413:Z418))</f>
        <v>0</v>
      </c>
      <c r="S408" s="192">
        <f t="array" ref="S408">SUM(IF(ISERROR(S215:S407),“”,S215:S407))</f>
        <v>0</v>
      </c>
      <c r="T408" s="192"/>
      <c r="U408" s="192"/>
      <c r="V408" s="198" t="str">
        <f t="array" ref="V408">IF(ISERROR(L408/K408),"",L408/K408)</f>
        <v/>
      </c>
      <c r="W408" s="192">
        <f t="array" ref="W408">SUM(IF(ISERROR(W215:W407),“”,W215:W407))</f>
        <v>0</v>
      </c>
      <c r="X408" s="192">
        <f t="array" ref="X408">SUM(IF(ISERROR(X215:X407),“”,X215:X407))</f>
        <v>0</v>
      </c>
      <c r="Y408" s="192">
        <f t="array" ref="Y408">SUM(IF(ISERROR(Y215:Y407),“”,Y215:Y407))</f>
        <v>0</v>
      </c>
      <c r="Z408" s="192">
        <f t="array" ref="Z408">SUM(IF(ISERROR(Z215:Z407),“”,Z215:Z407))</f>
        <v>0</v>
      </c>
      <c r="AA408" s="192">
        <f t="array" ref="AA408">SUM(IF(ISERROR(AA215:AA407),“”,AA215:AA407))</f>
        <v>0</v>
      </c>
      <c r="AB408" s="192">
        <f t="array" ref="AB408">SUM(IF(ISERROR(AB215:AB407),“”,AB215:AB407))</f>
        <v>0</v>
      </c>
      <c r="AC408" s="192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97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97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97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90" t="s">
        <v>260</v>
      </c>
      <c r="D436" s="190" t="s">
        <v>261</v>
      </c>
      <c r="E436" s="190" t="s">
        <v>262</v>
      </c>
      <c r="F436" s="190" t="s">
        <v>263</v>
      </c>
      <c r="G436" s="190" t="s">
        <v>264</v>
      </c>
      <c r="H436" s="205" t="s">
        <v>265</v>
      </c>
      <c r="I436" s="205" t="s">
        <v>266</v>
      </c>
      <c r="J436" s="205" t="s">
        <v>267</v>
      </c>
      <c r="K436" s="205" t="s">
        <v>268</v>
      </c>
      <c r="L436" s="205" t="s">
        <v>269</v>
      </c>
      <c r="M436" s="205" t="s">
        <v>270</v>
      </c>
      <c r="N436" s="205" t="s">
        <v>271</v>
      </c>
      <c r="O436" s="205" t="s">
        <v>272</v>
      </c>
      <c r="P436" s="193" t="s">
        <v>273</v>
      </c>
      <c r="Q436" s="205" t="s">
        <v>274</v>
      </c>
      <c r="R436" s="200" t="s">
        <v>189</v>
      </c>
      <c r="S436" s="190" t="s">
        <v>275</v>
      </c>
      <c r="T436" s="202" t="s">
        <v>276</v>
      </c>
      <c r="U436" s="19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90"/>
      <c r="E437" s="190"/>
      <c r="F437" s="190"/>
      <c r="G437" s="190"/>
      <c r="H437" s="205"/>
      <c r="I437" s="205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20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90"/>
      <c r="E438" s="190"/>
      <c r="F438" s="190"/>
      <c r="G438" s="190"/>
      <c r="H438" s="205"/>
      <c r="I438" s="205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20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90"/>
      <c r="E439" s="190"/>
      <c r="F439" s="190"/>
      <c r="G439" s="190"/>
      <c r="H439" s="205"/>
      <c r="I439" s="205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20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90"/>
      <c r="E440" s="190"/>
      <c r="F440" s="190"/>
      <c r="G440" s="190"/>
      <c r="H440" s="205"/>
      <c r="I440" s="205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20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90"/>
      <c r="E441" s="190"/>
      <c r="F441" s="190"/>
      <c r="G441" s="190"/>
      <c r="H441" s="205"/>
      <c r="I441" s="205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20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20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20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20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20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20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20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20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20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20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90"/>
      <c r="E451" s="190"/>
      <c r="F451" s="190"/>
      <c r="G451" s="190"/>
      <c r="H451" s="205"/>
      <c r="I451" s="83"/>
      <c r="J451" s="83">
        <f t="shared" si="63"/>
        <v>0</v>
      </c>
      <c r="K451" s="205"/>
      <c r="L451" s="205"/>
      <c r="M451" s="205"/>
      <c r="N451" s="205"/>
      <c r="O451" s="205"/>
      <c r="P451" s="193"/>
      <c r="Q451" s="83">
        <f t="shared" si="64"/>
        <v>0</v>
      </c>
      <c r="R451" s="20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2"/>
  <dimension ref="A1:AF454"/>
  <sheetViews>
    <sheetView topLeftCell="A281" workbookViewId="0">
      <selection activeCell="AE339" sqref="AE33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hidden="1" customWidth="1"/>
    <col min="15" max="15" width="10" style="5" hidden="1" customWidth="1"/>
    <col min="16" max="16" width="11.25" style="6" hidden="1" customWidth="1"/>
    <col min="17" max="18" width="0" style="5" hidden="1" customWidth="1"/>
    <col min="19" max="20" width="0" style="6" hidden="1" customWidth="1"/>
    <col min="21" max="21" width="10.75" style="2" hidden="1" customWidth="1"/>
    <col min="22" max="22" width="0" style="2" hidden="1" customWidth="1"/>
    <col min="23" max="29" width="0" hidden="1" customWidth="1"/>
    <col min="30" max="30" width="10.375" customWidth="1"/>
    <col min="31" max="31" width="16" customWidth="1"/>
    <col min="32" max="32" width="11.125" customWidth="1"/>
  </cols>
  <sheetData>
    <row r="1" spans="1:32" s="1" customFormat="1" ht="23.25" customHeight="1">
      <c r="A1" s="7"/>
      <c r="B1" s="8" t="s">
        <v>0</v>
      </c>
      <c r="C1" s="9"/>
      <c r="D1" s="10"/>
      <c r="E1" s="10"/>
      <c r="F1" s="11"/>
    </row>
    <row r="2" spans="1:32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32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32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  <c r="AD4" s="338" t="s">
        <v>316</v>
      </c>
      <c r="AE4" s="338" t="s">
        <v>317</v>
      </c>
      <c r="AF4" s="338" t="s">
        <v>318</v>
      </c>
    </row>
    <row r="5" spans="1:32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35" t="s">
        <v>25</v>
      </c>
      <c r="S5" s="227"/>
      <c r="T5" s="229"/>
      <c r="U5" s="229"/>
      <c r="V5" s="231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  <c r="AD5" s="338"/>
      <c r="AE5" s="338"/>
      <c r="AF5" s="338"/>
    </row>
    <row r="6" spans="1:32" ht="21.95" customHeight="1">
      <c r="A6" s="140">
        <v>300320</v>
      </c>
      <c r="B6" s="135" t="s">
        <v>33</v>
      </c>
      <c r="C6" s="239" t="s">
        <v>34</v>
      </c>
      <c r="D6" s="239"/>
      <c r="E6" s="139" t="s">
        <v>35</v>
      </c>
      <c r="F6" s="13"/>
      <c r="G6" s="133">
        <f>+SUM('12:25'!G6)</f>
        <v>0</v>
      </c>
      <c r="H6" s="133">
        <f>+SUM('12:25'!H6)</f>
        <v>0</v>
      </c>
      <c r="I6" s="133">
        <f>+SUM('12:25'!I6)</f>
        <v>0</v>
      </c>
      <c r="J6" s="133">
        <f>+SUM('12:25'!J6)</f>
        <v>0</v>
      </c>
      <c r="K6" s="137">
        <f t="shared" ref="K6:K76" si="0">G6*M6</f>
        <v>0</v>
      </c>
      <c r="L6" s="137">
        <f t="shared" ref="L6:L76" si="1">I6*M6</f>
        <v>0</v>
      </c>
      <c r="M6" s="137">
        <v>633.6</v>
      </c>
      <c r="N6" s="137">
        <f>+M6*1000/(28.3*10*40*60)*T6</f>
        <v>4.6643109540636036</v>
      </c>
      <c r="O6" s="133">
        <f>+SUM('12:25'!O6)</f>
        <v>0</v>
      </c>
      <c r="P6" s="137">
        <f t="shared" ref="P6:P76" si="2">N6*I6+O6*U6</f>
        <v>0</v>
      </c>
      <c r="Q6" s="133">
        <f>+SUM('12:25'!Q6)</f>
        <v>0</v>
      </c>
      <c r="R6" s="19">
        <f t="shared" ref="R6:R76" si="3">Q6*U6</f>
        <v>0</v>
      </c>
      <c r="S6" s="137">
        <f t="shared" ref="S6:S76" si="4">R6-P6</f>
        <v>0</v>
      </c>
      <c r="T6" s="20">
        <v>5</v>
      </c>
      <c r="U6" s="133">
        <f>+SUM('12:25'!U6)</f>
        <v>0</v>
      </c>
      <c r="V6" s="143" t="str">
        <f t="array" ref="V6">IF(ISERROR(L6/K6),"",L6/K6)</f>
        <v/>
      </c>
      <c r="W6" s="133">
        <f>+SUM('12:25'!W6)</f>
        <v>0</v>
      </c>
      <c r="X6" s="133">
        <f>+SUM('12:25'!X6)</f>
        <v>0</v>
      </c>
      <c r="Y6" s="133">
        <f>+SUM('12:25'!Y6)</f>
        <v>0</v>
      </c>
      <c r="Z6" s="133">
        <f>+SUM('12:25'!Z6)</f>
        <v>0</v>
      </c>
      <c r="AA6" s="133">
        <f>+SUM('12:25'!AA6)</f>
        <v>0</v>
      </c>
      <c r="AB6" s="133">
        <f>+SUM('12:25'!AB6)</f>
        <v>0</v>
      </c>
      <c r="AC6" s="133">
        <f>+SUM('12:25'!AC6)</f>
        <v>0</v>
      </c>
      <c r="AD6" s="1">
        <f>+L6/1000</f>
        <v>0</v>
      </c>
      <c r="AE6" s="184">
        <v>130.09</v>
      </c>
      <c r="AF6" s="1">
        <f>+AD6*AE6</f>
        <v>0</v>
      </c>
    </row>
    <row r="7" spans="1:32" ht="21.95" customHeight="1">
      <c r="A7" s="140">
        <v>300318</v>
      </c>
      <c r="B7" s="135" t="s">
        <v>33</v>
      </c>
      <c r="C7" s="239" t="s">
        <v>34</v>
      </c>
      <c r="D7" s="239"/>
      <c r="E7" s="139" t="s">
        <v>36</v>
      </c>
      <c r="F7" s="13"/>
      <c r="G7" s="133">
        <f>+SUM('12:25'!G7)</f>
        <v>0</v>
      </c>
      <c r="H7" s="133">
        <f>+SUM('12:25'!H7)</f>
        <v>0</v>
      </c>
      <c r="I7" s="133">
        <f>+SUM('12:25'!I7)</f>
        <v>0</v>
      </c>
      <c r="J7" s="133">
        <f>+SUM('12:25'!J7)</f>
        <v>0</v>
      </c>
      <c r="K7" s="137">
        <f t="shared" si="0"/>
        <v>0</v>
      </c>
      <c r="L7" s="137">
        <f t="shared" si="1"/>
        <v>0</v>
      </c>
      <c r="M7" s="137">
        <v>633.6</v>
      </c>
      <c r="N7" s="137">
        <f t="shared" ref="N7:N13" si="5">+M7*1000/(28.3*10*40*60)*T7</f>
        <v>4.6643109540636036</v>
      </c>
      <c r="O7" s="133">
        <f>+SUM('12:25'!O7)</f>
        <v>0</v>
      </c>
      <c r="P7" s="137">
        <f t="shared" si="2"/>
        <v>0</v>
      </c>
      <c r="Q7" s="133">
        <f>+SUM('12:25'!Q7)</f>
        <v>0</v>
      </c>
      <c r="R7" s="19">
        <f t="shared" si="3"/>
        <v>0</v>
      </c>
      <c r="S7" s="137">
        <f t="shared" si="4"/>
        <v>0</v>
      </c>
      <c r="T7" s="20">
        <v>5</v>
      </c>
      <c r="U7" s="133">
        <f>+SUM('12:25'!U7)</f>
        <v>0</v>
      </c>
      <c r="V7" s="143" t="str">
        <f t="array" ref="V7">IF(ISERROR(L7/K7),"",L7/K7)</f>
        <v/>
      </c>
      <c r="W7" s="133">
        <f>+SUM('12:25'!W7)</f>
        <v>0</v>
      </c>
      <c r="X7" s="133">
        <f>+SUM('12:25'!X7)</f>
        <v>0</v>
      </c>
      <c r="Y7" s="133">
        <f>+SUM('12:25'!Y7)</f>
        <v>0</v>
      </c>
      <c r="Z7" s="133">
        <f>+SUM('12:25'!Z7)</f>
        <v>0</v>
      </c>
      <c r="AA7" s="133">
        <f>+SUM('12:25'!AA7)</f>
        <v>0</v>
      </c>
      <c r="AB7" s="133">
        <f>+SUM('12:25'!AB7)</f>
        <v>0</v>
      </c>
      <c r="AC7" s="133">
        <f>+SUM('12:25'!AC7)</f>
        <v>0</v>
      </c>
      <c r="AD7" s="1">
        <f t="shared" ref="AD7:AD70" si="6">+L7/1000</f>
        <v>0</v>
      </c>
      <c r="AE7" s="184">
        <v>130.09</v>
      </c>
      <c r="AF7" s="1">
        <f t="shared" ref="AF7:AF70" si="7">+AD7*AE7</f>
        <v>0</v>
      </c>
    </row>
    <row r="8" spans="1:32" ht="21.95" customHeight="1">
      <c r="A8" s="140">
        <v>300319</v>
      </c>
      <c r="B8" s="135" t="s">
        <v>33</v>
      </c>
      <c r="C8" s="239" t="s">
        <v>34</v>
      </c>
      <c r="D8" s="239"/>
      <c r="E8" s="139" t="s">
        <v>37</v>
      </c>
      <c r="F8" s="13"/>
      <c r="G8" s="133">
        <f>+SUM('12:25'!G8)</f>
        <v>0</v>
      </c>
      <c r="H8" s="133">
        <f>+SUM('12:25'!H8)</f>
        <v>0</v>
      </c>
      <c r="I8" s="133">
        <f>+SUM('12:25'!I8)</f>
        <v>0</v>
      </c>
      <c r="J8" s="133">
        <f>+SUM('12:25'!J8)</f>
        <v>0</v>
      </c>
      <c r="K8" s="137">
        <f t="shared" si="0"/>
        <v>0</v>
      </c>
      <c r="L8" s="137">
        <f t="shared" si="1"/>
        <v>0</v>
      </c>
      <c r="M8" s="137">
        <v>633.6</v>
      </c>
      <c r="N8" s="137">
        <f t="shared" si="5"/>
        <v>4.6643109540636036</v>
      </c>
      <c r="O8" s="133">
        <f>+SUM('12:25'!O8)</f>
        <v>0</v>
      </c>
      <c r="P8" s="137">
        <f t="shared" si="2"/>
        <v>0</v>
      </c>
      <c r="Q8" s="133">
        <f>+SUM('12:25'!Q8)</f>
        <v>0</v>
      </c>
      <c r="R8" s="19">
        <f t="shared" si="3"/>
        <v>0</v>
      </c>
      <c r="S8" s="137">
        <f t="shared" si="4"/>
        <v>0</v>
      </c>
      <c r="T8" s="20">
        <v>5</v>
      </c>
      <c r="U8" s="133">
        <f>+SUM('12:25'!U8)</f>
        <v>0</v>
      </c>
      <c r="V8" s="143" t="str">
        <f t="array" ref="V8">IF(ISERROR(L8/K8),"",L8/K8)</f>
        <v/>
      </c>
      <c r="W8" s="133">
        <f>+SUM('12:25'!W8)</f>
        <v>0</v>
      </c>
      <c r="X8" s="133">
        <f>+SUM('12:25'!X8)</f>
        <v>0</v>
      </c>
      <c r="Y8" s="133">
        <f>+SUM('12:25'!Y8)</f>
        <v>0</v>
      </c>
      <c r="Z8" s="133">
        <f>+SUM('12:25'!Z8)</f>
        <v>0</v>
      </c>
      <c r="AA8" s="133">
        <f>+SUM('12:25'!AA8)</f>
        <v>0</v>
      </c>
      <c r="AB8" s="133">
        <f>+SUM('12:25'!AB8)</f>
        <v>0</v>
      </c>
      <c r="AC8" s="133">
        <f>+SUM('12:25'!AC8)</f>
        <v>0</v>
      </c>
      <c r="AD8" s="1">
        <f t="shared" si="6"/>
        <v>0</v>
      </c>
      <c r="AE8" s="184">
        <v>130.09</v>
      </c>
      <c r="AF8" s="1">
        <f t="shared" si="7"/>
        <v>0</v>
      </c>
    </row>
    <row r="9" spans="1:32" ht="21.95" customHeight="1">
      <c r="A9" s="140">
        <v>300316</v>
      </c>
      <c r="B9" s="135" t="s">
        <v>33</v>
      </c>
      <c r="C9" s="239" t="s">
        <v>34</v>
      </c>
      <c r="D9" s="239"/>
      <c r="E9" s="139" t="s">
        <v>38</v>
      </c>
      <c r="F9" s="13"/>
      <c r="G9" s="133">
        <f>+SUM('12:25'!G9)</f>
        <v>0</v>
      </c>
      <c r="H9" s="133">
        <f>+SUM('12:25'!H9)</f>
        <v>0</v>
      </c>
      <c r="I9" s="133">
        <f>+SUM('12:25'!I9)</f>
        <v>0</v>
      </c>
      <c r="J9" s="133">
        <f>+SUM('12:25'!J9)</f>
        <v>0</v>
      </c>
      <c r="K9" s="137">
        <f t="shared" si="0"/>
        <v>0</v>
      </c>
      <c r="L9" s="137">
        <f t="shared" si="1"/>
        <v>0</v>
      </c>
      <c r="M9" s="137">
        <v>616</v>
      </c>
      <c r="N9" s="137">
        <f t="shared" si="5"/>
        <v>4.534746760895171</v>
      </c>
      <c r="O9" s="133">
        <f>+SUM('12:25'!O9)</f>
        <v>0</v>
      </c>
      <c r="P9" s="137">
        <f t="shared" si="2"/>
        <v>0</v>
      </c>
      <c r="Q9" s="133">
        <f>+SUM('12:25'!Q9)</f>
        <v>0</v>
      </c>
      <c r="R9" s="19">
        <f t="shared" si="3"/>
        <v>0</v>
      </c>
      <c r="S9" s="137">
        <f t="shared" si="4"/>
        <v>0</v>
      </c>
      <c r="T9" s="20">
        <v>5</v>
      </c>
      <c r="U9" s="133">
        <f>+SUM('12:25'!U9)</f>
        <v>0</v>
      </c>
      <c r="V9" s="143"/>
      <c r="W9" s="133">
        <f>+SUM('12:25'!W9)</f>
        <v>0</v>
      </c>
      <c r="X9" s="133">
        <f>+SUM('12:25'!X9)</f>
        <v>0</v>
      </c>
      <c r="Y9" s="133">
        <f>+SUM('12:25'!Y9)</f>
        <v>0</v>
      </c>
      <c r="Z9" s="133">
        <f>+SUM('12:25'!Z9)</f>
        <v>0</v>
      </c>
      <c r="AA9" s="133">
        <f>+SUM('12:25'!AA9)</f>
        <v>0</v>
      </c>
      <c r="AB9" s="133">
        <f>+SUM('12:25'!AB9)</f>
        <v>0</v>
      </c>
      <c r="AC9" s="133">
        <f>+SUM('12:25'!AC9)</f>
        <v>0</v>
      </c>
      <c r="AD9" s="1">
        <f t="shared" si="6"/>
        <v>0</v>
      </c>
      <c r="AE9" s="184">
        <v>130.09</v>
      </c>
      <c r="AF9" s="1">
        <f t="shared" si="7"/>
        <v>0</v>
      </c>
    </row>
    <row r="10" spans="1:32" ht="21.95" customHeight="1">
      <c r="A10" s="140">
        <v>300317</v>
      </c>
      <c r="B10" s="135" t="s">
        <v>33</v>
      </c>
      <c r="C10" s="226" t="s">
        <v>34</v>
      </c>
      <c r="D10" s="226"/>
      <c r="E10" s="139" t="s">
        <v>39</v>
      </c>
      <c r="F10" s="13"/>
      <c r="G10" s="133">
        <f>+SUM('12:25'!G10)</f>
        <v>0</v>
      </c>
      <c r="H10" s="133">
        <f>+SUM('12:25'!H10)</f>
        <v>0</v>
      </c>
      <c r="I10" s="133">
        <f>+SUM('12:25'!I10)</f>
        <v>0</v>
      </c>
      <c r="J10" s="133">
        <f>+SUM('12:25'!J10)</f>
        <v>0</v>
      </c>
      <c r="K10" s="137">
        <f t="shared" si="0"/>
        <v>0</v>
      </c>
      <c r="L10" s="137">
        <f t="shared" si="1"/>
        <v>0</v>
      </c>
      <c r="M10" s="137">
        <v>616</v>
      </c>
      <c r="N10" s="137">
        <f t="shared" si="5"/>
        <v>4.534746760895171</v>
      </c>
      <c r="O10" s="133">
        <f>+SUM('12:25'!O10)</f>
        <v>0</v>
      </c>
      <c r="P10" s="137">
        <f t="shared" si="2"/>
        <v>0</v>
      </c>
      <c r="Q10" s="133">
        <f>+SUM('12:25'!Q10)</f>
        <v>0</v>
      </c>
      <c r="R10" s="19">
        <f t="shared" si="3"/>
        <v>0</v>
      </c>
      <c r="S10" s="137">
        <f t="shared" si="4"/>
        <v>0</v>
      </c>
      <c r="T10" s="20">
        <v>5</v>
      </c>
      <c r="U10" s="133">
        <f>+SUM('12:25'!U10)</f>
        <v>0</v>
      </c>
      <c r="V10" s="143"/>
      <c r="W10" s="133">
        <f>+SUM('12:25'!W10)</f>
        <v>0</v>
      </c>
      <c r="X10" s="133">
        <f>+SUM('12:25'!X10)</f>
        <v>0</v>
      </c>
      <c r="Y10" s="133">
        <f>+SUM('12:25'!Y10)</f>
        <v>0</v>
      </c>
      <c r="Z10" s="133">
        <f>+SUM('12:25'!Z10)</f>
        <v>0</v>
      </c>
      <c r="AA10" s="133">
        <f>+SUM('12:25'!AA10)</f>
        <v>0</v>
      </c>
      <c r="AB10" s="133">
        <f>+SUM('12:25'!AB10)</f>
        <v>0</v>
      </c>
      <c r="AC10" s="133">
        <f>+SUM('12:25'!AC10)</f>
        <v>0</v>
      </c>
      <c r="AD10" s="1">
        <f t="shared" si="6"/>
        <v>0</v>
      </c>
      <c r="AE10" s="184">
        <v>130.09</v>
      </c>
      <c r="AF10" s="1">
        <f t="shared" si="7"/>
        <v>0</v>
      </c>
    </row>
    <row r="11" spans="1:32" ht="21.95" customHeight="1">
      <c r="A11" s="140">
        <v>300315</v>
      </c>
      <c r="B11" s="135" t="s">
        <v>33</v>
      </c>
      <c r="C11" s="226" t="s">
        <v>34</v>
      </c>
      <c r="D11" s="226"/>
      <c r="E11" s="139" t="s">
        <v>40</v>
      </c>
      <c r="F11" s="13"/>
      <c r="G11" s="133">
        <f>+SUM('12:25'!G11)</f>
        <v>1.8333333333333333</v>
      </c>
      <c r="H11" s="133">
        <f>+SUM('12:25'!H11)</f>
        <v>0.33333333333333331</v>
      </c>
      <c r="I11" s="133">
        <f>+SUM('12:25'!I11)</f>
        <v>1.8333333333333333</v>
      </c>
      <c r="J11" s="133">
        <f>+SUM('12:25'!J11)</f>
        <v>0</v>
      </c>
      <c r="K11" s="137">
        <f t="shared" si="0"/>
        <v>1129.3333333333333</v>
      </c>
      <c r="L11" s="137">
        <f t="shared" si="1"/>
        <v>1129.3333333333333</v>
      </c>
      <c r="M11" s="137">
        <v>616</v>
      </c>
      <c r="N11" s="137">
        <f t="shared" si="5"/>
        <v>4.534746760895171</v>
      </c>
      <c r="O11" s="133">
        <f>+SUM('12:25'!O11)</f>
        <v>0</v>
      </c>
      <c r="P11" s="137">
        <f t="shared" si="2"/>
        <v>8.313702394974479</v>
      </c>
      <c r="Q11" s="133">
        <f>+SUM('12:25'!Q11)</f>
        <v>3</v>
      </c>
      <c r="R11" s="19">
        <f t="shared" si="3"/>
        <v>6</v>
      </c>
      <c r="S11" s="137">
        <f t="shared" si="4"/>
        <v>-2.313702394974479</v>
      </c>
      <c r="T11" s="20">
        <v>5</v>
      </c>
      <c r="U11" s="133">
        <f>+SUM('12:25'!U11)</f>
        <v>2</v>
      </c>
      <c r="V11" s="143">
        <f t="array" ref="V11">IF(ISERROR(L11/K11),"",L11/K11)</f>
        <v>1</v>
      </c>
      <c r="W11" s="133">
        <f>+SUM('12:25'!W11)</f>
        <v>1.5</v>
      </c>
      <c r="X11" s="133">
        <f>+SUM('12:25'!X11)</f>
        <v>0</v>
      </c>
      <c r="Y11" s="133">
        <f>+SUM('12:25'!Y11)</f>
        <v>0</v>
      </c>
      <c r="Z11" s="133">
        <f>+SUM('12:25'!Z11)</f>
        <v>0</v>
      </c>
      <c r="AA11" s="133">
        <f>+SUM('12:25'!AA11)</f>
        <v>0.5</v>
      </c>
      <c r="AB11" s="133">
        <f>+SUM('12:25'!AB11)</f>
        <v>0</v>
      </c>
      <c r="AC11" s="133">
        <f>+SUM('12:25'!AC11)</f>
        <v>0</v>
      </c>
      <c r="AD11" s="1">
        <f t="shared" si="6"/>
        <v>1.1293333333333333</v>
      </c>
      <c r="AE11" s="184">
        <v>130.09</v>
      </c>
      <c r="AF11" s="1">
        <f t="shared" si="7"/>
        <v>146.91497333333334</v>
      </c>
    </row>
    <row r="12" spans="1:32" ht="21.95" customHeight="1">
      <c r="A12" s="140">
        <v>300314</v>
      </c>
      <c r="B12" s="135" t="s">
        <v>33</v>
      </c>
      <c r="C12" s="226" t="s">
        <v>34</v>
      </c>
      <c r="D12" s="226"/>
      <c r="E12" s="139" t="s">
        <v>41</v>
      </c>
      <c r="F12" s="13"/>
      <c r="G12" s="133">
        <f>+SUM('12:25'!G12)</f>
        <v>3</v>
      </c>
      <c r="H12" s="133">
        <f>+SUM('12:25'!H12)</f>
        <v>0</v>
      </c>
      <c r="I12" s="133">
        <f>+SUM('12:25'!I12)</f>
        <v>3</v>
      </c>
      <c r="J12" s="133">
        <f>+SUM('12:25'!J12)</f>
        <v>0</v>
      </c>
      <c r="K12" s="137">
        <f t="shared" si="0"/>
        <v>1848</v>
      </c>
      <c r="L12" s="137">
        <f t="shared" si="1"/>
        <v>1848</v>
      </c>
      <c r="M12" s="137">
        <v>616</v>
      </c>
      <c r="N12" s="137">
        <f t="shared" si="5"/>
        <v>4.534746760895171</v>
      </c>
      <c r="O12" s="133">
        <f>+SUM('12:25'!O12)</f>
        <v>0.5</v>
      </c>
      <c r="P12" s="137">
        <f t="shared" si="2"/>
        <v>14.604240282685513</v>
      </c>
      <c r="Q12" s="133">
        <f>+SUM('12:25'!Q12)</f>
        <v>6</v>
      </c>
      <c r="R12" s="19">
        <f t="shared" si="3"/>
        <v>12</v>
      </c>
      <c r="S12" s="137">
        <f t="shared" si="4"/>
        <v>-2.6042402826855131</v>
      </c>
      <c r="T12" s="20">
        <v>5</v>
      </c>
      <c r="U12" s="133">
        <f>+SUM('12:25'!U12)</f>
        <v>2</v>
      </c>
      <c r="V12" s="143">
        <f t="array" ref="V12">IF(ISERROR(L12/K12),"",L12/K12)</f>
        <v>1</v>
      </c>
      <c r="W12" s="133">
        <f>+SUM('12:25'!W12)</f>
        <v>0</v>
      </c>
      <c r="X12" s="133">
        <f>+SUM('12:25'!X12)</f>
        <v>0</v>
      </c>
      <c r="Y12" s="133">
        <f>+SUM('12:25'!Y12)</f>
        <v>0</v>
      </c>
      <c r="Z12" s="133">
        <f>+SUM('12:25'!Z12)</f>
        <v>0</v>
      </c>
      <c r="AA12" s="133">
        <f>+SUM('12:25'!AA12)</f>
        <v>0</v>
      </c>
      <c r="AB12" s="133">
        <f>+SUM('12:25'!AB12)</f>
        <v>0</v>
      </c>
      <c r="AC12" s="133">
        <f>+SUM('12:25'!AC12)</f>
        <v>0</v>
      </c>
      <c r="AD12" s="1">
        <f t="shared" si="6"/>
        <v>1.8480000000000001</v>
      </c>
      <c r="AE12" s="184">
        <v>130.09</v>
      </c>
      <c r="AF12" s="1">
        <f t="shared" si="7"/>
        <v>240.40632000000002</v>
      </c>
    </row>
    <row r="13" spans="1:32" ht="21.95" customHeight="1">
      <c r="A13" s="140">
        <v>300313</v>
      </c>
      <c r="B13" s="135" t="s">
        <v>33</v>
      </c>
      <c r="C13" s="226" t="s">
        <v>34</v>
      </c>
      <c r="D13" s="226"/>
      <c r="E13" s="139" t="s">
        <v>42</v>
      </c>
      <c r="F13" s="13"/>
      <c r="G13" s="133">
        <f>+SUM('12:25'!G13)</f>
        <v>0</v>
      </c>
      <c r="H13" s="133">
        <f>+SUM('12:25'!H13)</f>
        <v>0</v>
      </c>
      <c r="I13" s="133">
        <f>+SUM('12:25'!I13)</f>
        <v>0</v>
      </c>
      <c r="J13" s="133">
        <f>+SUM('12:25'!J13)</f>
        <v>0</v>
      </c>
      <c r="K13" s="137">
        <f t="shared" si="0"/>
        <v>0</v>
      </c>
      <c r="L13" s="137">
        <f t="shared" si="1"/>
        <v>0</v>
      </c>
      <c r="M13" s="137">
        <v>616</v>
      </c>
      <c r="N13" s="137">
        <f t="shared" si="5"/>
        <v>4.534746760895171</v>
      </c>
      <c r="O13" s="133">
        <f>+SUM('12:25'!O13)</f>
        <v>0</v>
      </c>
      <c r="P13" s="137">
        <f t="shared" si="2"/>
        <v>0</v>
      </c>
      <c r="Q13" s="133">
        <f>+SUM('12:25'!Q13)</f>
        <v>0</v>
      </c>
      <c r="R13" s="19">
        <f t="shared" si="3"/>
        <v>0</v>
      </c>
      <c r="S13" s="137">
        <f t="shared" si="4"/>
        <v>0</v>
      </c>
      <c r="T13" s="20">
        <v>5</v>
      </c>
      <c r="U13" s="133">
        <f>+SUM('12:25'!U13)</f>
        <v>0</v>
      </c>
      <c r="V13" s="143" t="str">
        <f t="array" ref="V13">IF(ISERROR(L13/K13),"",L13/K13)</f>
        <v/>
      </c>
      <c r="W13" s="133">
        <f>+SUM('12:25'!W13)</f>
        <v>0</v>
      </c>
      <c r="X13" s="133">
        <f>+SUM('12:25'!X13)</f>
        <v>0</v>
      </c>
      <c r="Y13" s="133">
        <f>+SUM('12:25'!Y13)</f>
        <v>0</v>
      </c>
      <c r="Z13" s="133">
        <f>+SUM('12:25'!Z13)</f>
        <v>0</v>
      </c>
      <c r="AA13" s="133">
        <f>+SUM('12:25'!AA13)</f>
        <v>0</v>
      </c>
      <c r="AB13" s="133">
        <f>+SUM('12:25'!AB13)</f>
        <v>0</v>
      </c>
      <c r="AC13" s="133">
        <f>+SUM('12:25'!AC13)</f>
        <v>0</v>
      </c>
      <c r="AD13" s="1">
        <f t="shared" si="6"/>
        <v>0</v>
      </c>
      <c r="AE13" s="184">
        <v>130.09</v>
      </c>
      <c r="AF13" s="1">
        <f t="shared" si="7"/>
        <v>0</v>
      </c>
    </row>
    <row r="14" spans="1:32" ht="21.95" customHeight="1">
      <c r="A14" s="140"/>
      <c r="B14" s="135" t="s">
        <v>43</v>
      </c>
      <c r="C14" s="237" t="s">
        <v>313</v>
      </c>
      <c r="D14" s="238"/>
      <c r="E14" s="139" t="s">
        <v>314</v>
      </c>
      <c r="F14" s="13"/>
      <c r="G14" s="133">
        <f>+SUM('12:25'!G14)</f>
        <v>0</v>
      </c>
      <c r="H14" s="133">
        <f>+SUM('12:25'!H14)</f>
        <v>0</v>
      </c>
      <c r="I14" s="133">
        <f>+SUM('12:25'!I14)</f>
        <v>0</v>
      </c>
      <c r="J14" s="133">
        <f>+SUM('12:25'!J14)</f>
        <v>0</v>
      </c>
      <c r="K14" s="137">
        <f t="shared" si="0"/>
        <v>0</v>
      </c>
      <c r="L14" s="137">
        <f t="shared" si="1"/>
        <v>0</v>
      </c>
      <c r="M14" s="137">
        <v>213.4</v>
      </c>
      <c r="N14" s="137">
        <f>+M14*1000/(15.4*10*17*60)*T14</f>
        <v>4.0756302521008401</v>
      </c>
      <c r="O14" s="133">
        <f>+SUM('12:25'!O14)</f>
        <v>0</v>
      </c>
      <c r="P14" s="137">
        <f t="shared" si="2"/>
        <v>0</v>
      </c>
      <c r="Q14" s="133">
        <f>+SUM('12:25'!Q14)</f>
        <v>0</v>
      </c>
      <c r="R14" s="19">
        <f t="shared" si="3"/>
        <v>0</v>
      </c>
      <c r="S14" s="137">
        <f t="shared" si="4"/>
        <v>0</v>
      </c>
      <c r="T14" s="20">
        <v>3</v>
      </c>
      <c r="U14" s="133">
        <f>+SUM('12:25'!U14)</f>
        <v>0</v>
      </c>
      <c r="V14" s="143"/>
      <c r="W14" s="133">
        <f>+SUM('12:25'!W14)</f>
        <v>0</v>
      </c>
      <c r="X14" s="133">
        <f>+SUM('12:25'!X14)</f>
        <v>0</v>
      </c>
      <c r="Y14" s="133">
        <f>+SUM('12:25'!Y14)</f>
        <v>0</v>
      </c>
      <c r="Z14" s="133">
        <f>+SUM('12:25'!Z14)</f>
        <v>0</v>
      </c>
      <c r="AA14" s="133">
        <f>+SUM('12:25'!AA14)</f>
        <v>0</v>
      </c>
      <c r="AB14" s="133">
        <f>+SUM('12:25'!AB14)</f>
        <v>0</v>
      </c>
      <c r="AC14" s="133">
        <f>+SUM('12:25'!AC14)</f>
        <v>0</v>
      </c>
      <c r="AD14" s="1">
        <f t="shared" si="6"/>
        <v>0</v>
      </c>
      <c r="AE14" s="184">
        <v>298.94</v>
      </c>
      <c r="AF14" s="1">
        <f t="shared" si="7"/>
        <v>0</v>
      </c>
    </row>
    <row r="15" spans="1:32" ht="21.95" customHeight="1">
      <c r="A15" s="140"/>
      <c r="B15" s="135" t="s">
        <v>43</v>
      </c>
      <c r="C15" s="237" t="s">
        <v>313</v>
      </c>
      <c r="D15" s="238"/>
      <c r="E15" s="139" t="s">
        <v>315</v>
      </c>
      <c r="F15" s="13"/>
      <c r="G15" s="133">
        <f>+SUM('12:25'!G15)</f>
        <v>0</v>
      </c>
      <c r="H15" s="133">
        <f>+SUM('12:25'!H15)</f>
        <v>0</v>
      </c>
      <c r="I15" s="133">
        <f>+SUM('12:25'!I15)</f>
        <v>0</v>
      </c>
      <c r="J15" s="133">
        <f>+SUM('12:25'!J15)</f>
        <v>0</v>
      </c>
      <c r="K15" s="137">
        <f t="shared" si="0"/>
        <v>0</v>
      </c>
      <c r="L15" s="137">
        <f t="shared" si="1"/>
        <v>0</v>
      </c>
      <c r="M15" s="137">
        <v>213.4</v>
      </c>
      <c r="N15" s="137">
        <f>+M15*1000/(15.4*10*17*60)*T15</f>
        <v>4.0756302521008401</v>
      </c>
      <c r="O15" s="133">
        <f>+SUM('12:25'!O15)</f>
        <v>0</v>
      </c>
      <c r="P15" s="137">
        <f t="shared" si="2"/>
        <v>0</v>
      </c>
      <c r="Q15" s="133">
        <f>+SUM('12:25'!Q15)</f>
        <v>0</v>
      </c>
      <c r="R15" s="19">
        <f t="shared" si="3"/>
        <v>0</v>
      </c>
      <c r="S15" s="137">
        <f t="shared" si="4"/>
        <v>0</v>
      </c>
      <c r="T15" s="20">
        <v>3</v>
      </c>
      <c r="U15" s="133">
        <f>+SUM('12:25'!U15)</f>
        <v>0</v>
      </c>
      <c r="V15" s="143"/>
      <c r="W15" s="133">
        <f>+SUM('12:25'!W15)</f>
        <v>0</v>
      </c>
      <c r="X15" s="133">
        <f>+SUM('12:25'!X15)</f>
        <v>0</v>
      </c>
      <c r="Y15" s="133">
        <f>+SUM('12:25'!Y15)</f>
        <v>0</v>
      </c>
      <c r="Z15" s="133">
        <f>+SUM('12:25'!Z15)</f>
        <v>0</v>
      </c>
      <c r="AA15" s="133">
        <f>+SUM('12:25'!AA15)</f>
        <v>0</v>
      </c>
      <c r="AB15" s="133">
        <f>+SUM('12:25'!AB15)</f>
        <v>0</v>
      </c>
      <c r="AC15" s="133">
        <f>+SUM('12:25'!AC15)</f>
        <v>0</v>
      </c>
      <c r="AD15" s="1">
        <f t="shared" si="6"/>
        <v>0</v>
      </c>
      <c r="AE15" s="184">
        <v>298.94</v>
      </c>
      <c r="AF15" s="1">
        <f t="shared" si="7"/>
        <v>0</v>
      </c>
    </row>
    <row r="16" spans="1:32" ht="21" customHeight="1">
      <c r="A16" s="135">
        <v>300202</v>
      </c>
      <c r="B16" s="135" t="s">
        <v>43</v>
      </c>
      <c r="C16" s="237" t="s">
        <v>44</v>
      </c>
      <c r="D16" s="238"/>
      <c r="E16" s="135" t="s">
        <v>35</v>
      </c>
      <c r="F16" s="13"/>
      <c r="G16" s="133">
        <f>+SUM('12:25'!G16)</f>
        <v>0</v>
      </c>
      <c r="H16" s="133">
        <f>+SUM('12:25'!H16)</f>
        <v>0</v>
      </c>
      <c r="I16" s="133">
        <f>+SUM('12:25'!I16)</f>
        <v>0</v>
      </c>
      <c r="J16" s="133">
        <f>+SUM('12:25'!J16)</f>
        <v>0</v>
      </c>
      <c r="K16" s="137">
        <f t="shared" si="0"/>
        <v>0</v>
      </c>
      <c r="L16" s="137">
        <f t="shared" si="1"/>
        <v>0</v>
      </c>
      <c r="M16" s="137">
        <v>212.4</v>
      </c>
      <c r="N16" s="137">
        <f>+M16*1000/(15.4*10*17*60)*T16</f>
        <v>4.0565317035905268</v>
      </c>
      <c r="O16" s="133">
        <f>+SUM('12:25'!O16)</f>
        <v>0</v>
      </c>
      <c r="P16" s="137">
        <f t="shared" si="2"/>
        <v>0</v>
      </c>
      <c r="Q16" s="133">
        <f>+SUM('12:25'!Q16)</f>
        <v>0</v>
      </c>
      <c r="R16" s="19">
        <f t="shared" si="3"/>
        <v>0</v>
      </c>
      <c r="S16" s="137">
        <f t="shared" si="4"/>
        <v>0</v>
      </c>
      <c r="T16" s="20">
        <v>3</v>
      </c>
      <c r="U16" s="133">
        <f>+SUM('12:25'!U16)</f>
        <v>0</v>
      </c>
      <c r="V16" s="143" t="str">
        <f t="array" ref="V16">IF(ISERROR(L16/K16),"",L16/K16)</f>
        <v/>
      </c>
      <c r="W16" s="133">
        <f>+SUM('12:25'!W16)</f>
        <v>0</v>
      </c>
      <c r="X16" s="133">
        <f>+SUM('12:25'!X16)</f>
        <v>0</v>
      </c>
      <c r="Y16" s="133">
        <f>+SUM('12:25'!Y16)</f>
        <v>0</v>
      </c>
      <c r="Z16" s="133">
        <f>+SUM('12:25'!Z16)</f>
        <v>0</v>
      </c>
      <c r="AA16" s="133">
        <f>+SUM('12:25'!AA16)</f>
        <v>0</v>
      </c>
      <c r="AB16" s="133">
        <f>+SUM('12:25'!AB16)</f>
        <v>0</v>
      </c>
      <c r="AC16" s="133">
        <f>+SUM('12:25'!AC16)</f>
        <v>0</v>
      </c>
      <c r="AD16" s="1">
        <f t="shared" si="6"/>
        <v>0</v>
      </c>
      <c r="AE16" s="184">
        <v>298.94</v>
      </c>
      <c r="AF16" s="1">
        <f t="shared" si="7"/>
        <v>0</v>
      </c>
    </row>
    <row r="17" spans="1:32" ht="21.95" customHeight="1">
      <c r="A17" s="135">
        <v>300203</v>
      </c>
      <c r="B17" s="135" t="s">
        <v>43</v>
      </c>
      <c r="C17" s="237" t="s">
        <v>44</v>
      </c>
      <c r="D17" s="238"/>
      <c r="E17" s="135" t="s">
        <v>41</v>
      </c>
      <c r="F17" s="13"/>
      <c r="G17" s="133">
        <f>+SUM('12:25'!G17)</f>
        <v>0</v>
      </c>
      <c r="H17" s="133">
        <f>+SUM('12:25'!H17)</f>
        <v>0</v>
      </c>
      <c r="I17" s="133">
        <f>+SUM('12:25'!I17)</f>
        <v>0</v>
      </c>
      <c r="J17" s="133">
        <f>+SUM('12:25'!J17)</f>
        <v>0</v>
      </c>
      <c r="K17" s="137">
        <f t="shared" si="0"/>
        <v>0</v>
      </c>
      <c r="L17" s="137">
        <f t="shared" si="1"/>
        <v>0</v>
      </c>
      <c r="M17" s="137">
        <v>212.4</v>
      </c>
      <c r="N17" s="137">
        <f>+M17*1000/(15.4*10*17*60)*T17</f>
        <v>4.0565317035905268</v>
      </c>
      <c r="O17" s="133">
        <f>+SUM('12:25'!O17)</f>
        <v>0</v>
      </c>
      <c r="P17" s="137">
        <f t="shared" si="2"/>
        <v>0</v>
      </c>
      <c r="Q17" s="133">
        <f>+SUM('12:25'!Q17)</f>
        <v>0</v>
      </c>
      <c r="R17" s="19">
        <f t="shared" si="3"/>
        <v>0</v>
      </c>
      <c r="S17" s="137">
        <f t="shared" si="4"/>
        <v>0</v>
      </c>
      <c r="T17" s="20">
        <v>3</v>
      </c>
      <c r="U17" s="133">
        <f>+SUM('12:25'!U17)</f>
        <v>0</v>
      </c>
      <c r="V17" s="143" t="str">
        <f t="array" ref="V17">IF(ISERROR(L17/K17),"",L17/K17)</f>
        <v/>
      </c>
      <c r="W17" s="133">
        <f>+SUM('12:25'!W17)</f>
        <v>0</v>
      </c>
      <c r="X17" s="133">
        <f>+SUM('12:25'!X17)</f>
        <v>0</v>
      </c>
      <c r="Y17" s="133">
        <f>+SUM('12:25'!Y17)</f>
        <v>0</v>
      </c>
      <c r="Z17" s="133">
        <f>+SUM('12:25'!Z17)</f>
        <v>0</v>
      </c>
      <c r="AA17" s="133">
        <f>+SUM('12:25'!AA17)</f>
        <v>0</v>
      </c>
      <c r="AB17" s="133">
        <f>+SUM('12:25'!AB17)</f>
        <v>0</v>
      </c>
      <c r="AC17" s="133">
        <f>+SUM('12:25'!AC17)</f>
        <v>0</v>
      </c>
      <c r="AD17" s="1">
        <f t="shared" si="6"/>
        <v>0</v>
      </c>
      <c r="AE17" s="184">
        <v>298.94</v>
      </c>
      <c r="AF17" s="1">
        <f t="shared" si="7"/>
        <v>0</v>
      </c>
    </row>
    <row r="18" spans="1:32" ht="21.95" customHeight="1">
      <c r="A18" s="135">
        <v>300204</v>
      </c>
      <c r="B18" s="135" t="s">
        <v>43</v>
      </c>
      <c r="C18" s="237" t="s">
        <v>44</v>
      </c>
      <c r="D18" s="238"/>
      <c r="E18" s="135" t="s">
        <v>37</v>
      </c>
      <c r="F18" s="13"/>
      <c r="G18" s="133">
        <f>+SUM('12:25'!G18)</f>
        <v>0</v>
      </c>
      <c r="H18" s="133">
        <f>+SUM('12:25'!H18)</f>
        <v>0</v>
      </c>
      <c r="I18" s="133">
        <f>+SUM('12:25'!I18)</f>
        <v>0</v>
      </c>
      <c r="J18" s="133">
        <f>+SUM('12:25'!J18)</f>
        <v>0</v>
      </c>
      <c r="K18" s="137">
        <f t="shared" si="0"/>
        <v>0</v>
      </c>
      <c r="L18" s="137">
        <f t="shared" si="1"/>
        <v>0</v>
      </c>
      <c r="M18" s="137">
        <v>212.4</v>
      </c>
      <c r="N18" s="137">
        <f>+M18*1000/(15.4*10*17*60)*T18</f>
        <v>4.0565317035905268</v>
      </c>
      <c r="O18" s="133">
        <f>+SUM('12:25'!O18)</f>
        <v>0</v>
      </c>
      <c r="P18" s="137">
        <f t="shared" si="2"/>
        <v>0</v>
      </c>
      <c r="Q18" s="133">
        <f>+SUM('12:25'!Q18)</f>
        <v>0</v>
      </c>
      <c r="R18" s="19">
        <f t="shared" si="3"/>
        <v>0</v>
      </c>
      <c r="S18" s="137">
        <f t="shared" si="4"/>
        <v>0</v>
      </c>
      <c r="T18" s="20">
        <v>3</v>
      </c>
      <c r="U18" s="133">
        <f>+SUM('12:25'!U18)</f>
        <v>0</v>
      </c>
      <c r="V18" s="143" t="str">
        <f t="array" ref="V18">IF(ISERROR(L18/K18),"",L18/K18)</f>
        <v/>
      </c>
      <c r="W18" s="133">
        <f>+SUM('12:25'!W18)</f>
        <v>0</v>
      </c>
      <c r="X18" s="133">
        <f>+SUM('12:25'!X18)</f>
        <v>0</v>
      </c>
      <c r="Y18" s="133">
        <f>+SUM('12:25'!Y18)</f>
        <v>0</v>
      </c>
      <c r="Z18" s="133">
        <f>+SUM('12:25'!Z18)</f>
        <v>0</v>
      </c>
      <c r="AA18" s="133">
        <f>+SUM('12:25'!AA18)</f>
        <v>0</v>
      </c>
      <c r="AB18" s="133">
        <f>+SUM('12:25'!AB18)</f>
        <v>0</v>
      </c>
      <c r="AC18" s="133">
        <f>+SUM('12:25'!AC18)</f>
        <v>0</v>
      </c>
      <c r="AD18" s="1">
        <f t="shared" si="6"/>
        <v>0</v>
      </c>
      <c r="AE18" s="1"/>
      <c r="AF18" s="1">
        <f t="shared" si="7"/>
        <v>0</v>
      </c>
    </row>
    <row r="19" spans="1:32" ht="21.95" customHeight="1">
      <c r="A19" s="140">
        <v>300269</v>
      </c>
      <c r="B19" s="135" t="s">
        <v>43</v>
      </c>
      <c r="C19" s="226" t="s">
        <v>45</v>
      </c>
      <c r="D19" s="226"/>
      <c r="E19" s="139"/>
      <c r="F19" s="13"/>
      <c r="G19" s="133">
        <f>+SUM('12:25'!G19)</f>
        <v>0</v>
      </c>
      <c r="H19" s="133">
        <f>+SUM('12:25'!H19)</f>
        <v>0</v>
      </c>
      <c r="I19" s="133">
        <f>+SUM('12:25'!I19)</f>
        <v>0</v>
      </c>
      <c r="J19" s="133">
        <f>+SUM('12:25'!J19)</f>
        <v>0</v>
      </c>
      <c r="K19" s="137">
        <f t="shared" si="0"/>
        <v>0</v>
      </c>
      <c r="L19" s="137">
        <f t="shared" si="1"/>
        <v>0</v>
      </c>
      <c r="M19" s="137">
        <v>209.4</v>
      </c>
      <c r="N19" s="137">
        <f>+M19*1000/(19.4*10*16*60)*T19</f>
        <v>3.3730670103092786</v>
      </c>
      <c r="O19" s="133">
        <f>+SUM('12:25'!O19)</f>
        <v>0</v>
      </c>
      <c r="P19" s="137">
        <f t="shared" si="2"/>
        <v>0</v>
      </c>
      <c r="Q19" s="133">
        <f>+SUM('12:25'!Q19)</f>
        <v>0</v>
      </c>
      <c r="R19" s="19">
        <f t="shared" si="3"/>
        <v>0</v>
      </c>
      <c r="S19" s="137">
        <f t="shared" si="4"/>
        <v>0</v>
      </c>
      <c r="T19" s="20">
        <v>3</v>
      </c>
      <c r="U19" s="133">
        <f>+SUM('12:25'!U19)</f>
        <v>0</v>
      </c>
      <c r="V19" s="143" t="str">
        <f t="array" ref="V19">IF(ISERROR(L19/K19),"",L19/K19)</f>
        <v/>
      </c>
      <c r="W19" s="133">
        <f>+SUM('12:25'!W19)</f>
        <v>0</v>
      </c>
      <c r="X19" s="133">
        <f>+SUM('12:25'!X19)</f>
        <v>0</v>
      </c>
      <c r="Y19" s="133">
        <f>+SUM('12:25'!Y19)</f>
        <v>0</v>
      </c>
      <c r="Z19" s="133">
        <f>+SUM('12:25'!Z19)</f>
        <v>0</v>
      </c>
      <c r="AA19" s="133">
        <f>+SUM('12:25'!AA19)</f>
        <v>0</v>
      </c>
      <c r="AB19" s="133">
        <f>+SUM('12:25'!AB19)</f>
        <v>0</v>
      </c>
      <c r="AC19" s="133">
        <f>+SUM('12:25'!AC19)</f>
        <v>0</v>
      </c>
      <c r="AD19" s="1">
        <f t="shared" si="6"/>
        <v>0</v>
      </c>
      <c r="AE19" s="1"/>
      <c r="AF19" s="1">
        <f t="shared" si="7"/>
        <v>0</v>
      </c>
    </row>
    <row r="20" spans="1:32" ht="21.95" customHeight="1">
      <c r="A20" s="140"/>
      <c r="B20" s="135"/>
      <c r="C20" s="226" t="s">
        <v>46</v>
      </c>
      <c r="D20" s="226"/>
      <c r="E20" s="139" t="s">
        <v>47</v>
      </c>
      <c r="F20" s="13"/>
      <c r="G20" s="133">
        <f>+SUM('12:25'!G20)</f>
        <v>0</v>
      </c>
      <c r="H20" s="133">
        <f>+SUM('12:25'!H20)</f>
        <v>0</v>
      </c>
      <c r="I20" s="133">
        <f>+SUM('12:25'!I20)</f>
        <v>0</v>
      </c>
      <c r="J20" s="133">
        <f>+SUM('12:25'!J20)</f>
        <v>0</v>
      </c>
      <c r="K20" s="137">
        <f t="shared" si="0"/>
        <v>0</v>
      </c>
      <c r="L20" s="137">
        <f t="shared" si="1"/>
        <v>0</v>
      </c>
      <c r="M20" s="137">
        <v>209.9</v>
      </c>
      <c r="N20" s="137">
        <f>+M20*1000/(19*10*16*60)*T20</f>
        <v>3.4523026315789478</v>
      </c>
      <c r="O20" s="133">
        <f>+SUM('12:25'!O20)</f>
        <v>0</v>
      </c>
      <c r="P20" s="137">
        <f t="shared" si="2"/>
        <v>0</v>
      </c>
      <c r="Q20" s="133">
        <f>+SUM('12:25'!Q20)</f>
        <v>0</v>
      </c>
      <c r="R20" s="19">
        <f t="shared" si="3"/>
        <v>0</v>
      </c>
      <c r="S20" s="137">
        <f t="shared" si="4"/>
        <v>0</v>
      </c>
      <c r="T20" s="20">
        <v>3</v>
      </c>
      <c r="U20" s="133">
        <f>+SUM('12:25'!U20)</f>
        <v>0</v>
      </c>
      <c r="V20" s="143" t="str">
        <f t="array" ref="V20">IF(ISERROR(L20/K20),"",L20/K20)</f>
        <v/>
      </c>
      <c r="W20" s="133">
        <f>+SUM('12:25'!W20)</f>
        <v>0</v>
      </c>
      <c r="X20" s="133">
        <f>+SUM('12:25'!X20)</f>
        <v>0</v>
      </c>
      <c r="Y20" s="133">
        <f>+SUM('12:25'!Y20)</f>
        <v>0</v>
      </c>
      <c r="Z20" s="133">
        <f>+SUM('12:25'!Z20)</f>
        <v>0</v>
      </c>
      <c r="AA20" s="133">
        <f>+SUM('12:25'!AA20)</f>
        <v>0</v>
      </c>
      <c r="AB20" s="133">
        <f>+SUM('12:25'!AB20)</f>
        <v>0</v>
      </c>
      <c r="AC20" s="133">
        <f>+SUM('12:25'!AC20)</f>
        <v>0</v>
      </c>
      <c r="AD20" s="1">
        <f t="shared" si="6"/>
        <v>0</v>
      </c>
      <c r="AE20" s="1"/>
      <c r="AF20" s="1">
        <f t="shared" si="7"/>
        <v>0</v>
      </c>
    </row>
    <row r="21" spans="1:32" ht="21.95" customHeight="1">
      <c r="A21" s="140">
        <v>300350</v>
      </c>
      <c r="B21" s="135" t="s">
        <v>43</v>
      </c>
      <c r="C21" s="226" t="s">
        <v>48</v>
      </c>
      <c r="D21" s="226"/>
      <c r="E21" s="139" t="s">
        <v>49</v>
      </c>
      <c r="F21" s="13"/>
      <c r="G21" s="133">
        <f>+SUM('12:25'!G21)</f>
        <v>0</v>
      </c>
      <c r="H21" s="133">
        <f>+SUM('12:25'!H21)</f>
        <v>0</v>
      </c>
      <c r="I21" s="133">
        <f>+SUM('12:25'!I21)</f>
        <v>0</v>
      </c>
      <c r="J21" s="133">
        <f>+SUM('12:25'!J21)</f>
        <v>0</v>
      </c>
      <c r="K21" s="137">
        <f t="shared" si="0"/>
        <v>0</v>
      </c>
      <c r="L21" s="137">
        <f t="shared" si="1"/>
        <v>0</v>
      </c>
      <c r="M21" s="137">
        <v>209.9</v>
      </c>
      <c r="N21" s="137">
        <f>+M21*1000/(19*10*16*60)*T21</f>
        <v>2.3015350877192984</v>
      </c>
      <c r="O21" s="133">
        <f>+SUM('12:25'!O21)</f>
        <v>0</v>
      </c>
      <c r="P21" s="137">
        <f t="shared" si="2"/>
        <v>0</v>
      </c>
      <c r="Q21" s="133">
        <f>+SUM('12:25'!Q21)</f>
        <v>0</v>
      </c>
      <c r="R21" s="19">
        <f t="shared" si="3"/>
        <v>0</v>
      </c>
      <c r="S21" s="137">
        <f t="shared" si="4"/>
        <v>0</v>
      </c>
      <c r="T21" s="20">
        <v>2</v>
      </c>
      <c r="U21" s="133">
        <f>+SUM('12:25'!U21)</f>
        <v>0</v>
      </c>
      <c r="V21" s="143" t="str">
        <f t="array" ref="V21">IF(ISERROR(L21/K21),"",L21/K21)</f>
        <v/>
      </c>
      <c r="W21" s="133">
        <f>+SUM('12:25'!W21)</f>
        <v>0</v>
      </c>
      <c r="X21" s="133">
        <f>+SUM('12:25'!X21)</f>
        <v>0</v>
      </c>
      <c r="Y21" s="133">
        <f>+SUM('12:25'!Y21)</f>
        <v>0</v>
      </c>
      <c r="Z21" s="133">
        <f>+SUM('12:25'!Z21)</f>
        <v>0</v>
      </c>
      <c r="AA21" s="133">
        <f>+SUM('12:25'!AA21)</f>
        <v>0</v>
      </c>
      <c r="AB21" s="133">
        <f>+SUM('12:25'!AB21)</f>
        <v>0</v>
      </c>
      <c r="AC21" s="133">
        <f>+SUM('12:25'!AC21)</f>
        <v>0</v>
      </c>
      <c r="AD21" s="1">
        <f t="shared" si="6"/>
        <v>0</v>
      </c>
      <c r="AE21" s="1"/>
      <c r="AF21" s="1">
        <f t="shared" si="7"/>
        <v>0</v>
      </c>
    </row>
    <row r="22" spans="1:32" ht="21.95" customHeight="1">
      <c r="A22" s="140">
        <v>300113</v>
      </c>
      <c r="B22" s="135" t="s">
        <v>43</v>
      </c>
      <c r="C22" s="226" t="s">
        <v>50</v>
      </c>
      <c r="D22" s="226"/>
      <c r="E22" s="139" t="s">
        <v>40</v>
      </c>
      <c r="F22" s="13"/>
      <c r="G22" s="133">
        <f>+SUM('12:25'!G22)</f>
        <v>0</v>
      </c>
      <c r="H22" s="133">
        <f>+SUM('12:25'!H22)</f>
        <v>0</v>
      </c>
      <c r="I22" s="133">
        <f>+SUM('12:25'!I22)</f>
        <v>0</v>
      </c>
      <c r="J22" s="133">
        <f>+SUM('12:25'!J22)</f>
        <v>0</v>
      </c>
      <c r="K22" s="137">
        <f t="shared" si="0"/>
        <v>0</v>
      </c>
      <c r="L22" s="137">
        <f t="shared" si="1"/>
        <v>0</v>
      </c>
      <c r="M22" s="137">
        <v>210</v>
      </c>
      <c r="N22" s="137">
        <f>M22*1000/(19.2*10*17*60)*T22</f>
        <v>2.1446078431372548</v>
      </c>
      <c r="O22" s="133">
        <f>+SUM('12:25'!O22)</f>
        <v>0</v>
      </c>
      <c r="P22" s="137">
        <f t="shared" si="2"/>
        <v>0</v>
      </c>
      <c r="Q22" s="133">
        <f>+SUM('12:25'!Q22)</f>
        <v>0</v>
      </c>
      <c r="R22" s="19">
        <f t="shared" si="3"/>
        <v>0</v>
      </c>
      <c r="S22" s="137">
        <f t="shared" si="4"/>
        <v>0</v>
      </c>
      <c r="T22" s="20">
        <v>2</v>
      </c>
      <c r="U22" s="133">
        <f>+SUM('12:25'!U22)</f>
        <v>0</v>
      </c>
      <c r="V22" s="143" t="str">
        <f t="array" ref="V22">IF(ISERROR(L22/K22),"",L22/K22)</f>
        <v/>
      </c>
      <c r="W22" s="133">
        <f>+SUM('12:25'!W22)</f>
        <v>0</v>
      </c>
      <c r="X22" s="133">
        <f>+SUM('12:25'!X22)</f>
        <v>0</v>
      </c>
      <c r="Y22" s="133">
        <f>+SUM('12:25'!Y22)</f>
        <v>0</v>
      </c>
      <c r="Z22" s="133">
        <f>+SUM('12:25'!Z22)</f>
        <v>0</v>
      </c>
      <c r="AA22" s="133">
        <f>+SUM('12:25'!AA22)</f>
        <v>0</v>
      </c>
      <c r="AB22" s="133">
        <f>+SUM('12:25'!AB22)</f>
        <v>0</v>
      </c>
      <c r="AC22" s="133">
        <f>+SUM('12:25'!AC22)</f>
        <v>0</v>
      </c>
      <c r="AD22" s="1">
        <f t="shared" si="6"/>
        <v>0</v>
      </c>
      <c r="AE22" s="1"/>
      <c r="AF22" s="1">
        <f t="shared" si="7"/>
        <v>0</v>
      </c>
    </row>
    <row r="23" spans="1:32" ht="21.95" customHeight="1">
      <c r="A23" s="140">
        <v>300114</v>
      </c>
      <c r="B23" s="135" t="s">
        <v>43</v>
      </c>
      <c r="C23" s="226" t="s">
        <v>50</v>
      </c>
      <c r="D23" s="226"/>
      <c r="E23" s="139" t="s">
        <v>42</v>
      </c>
      <c r="F23" s="13"/>
      <c r="G23" s="133">
        <f>+SUM('12:25'!G23)</f>
        <v>0</v>
      </c>
      <c r="H23" s="133">
        <f>+SUM('12:25'!H23)</f>
        <v>0</v>
      </c>
      <c r="I23" s="133">
        <f>+SUM('12:25'!I23)</f>
        <v>0</v>
      </c>
      <c r="J23" s="133">
        <f>+SUM('12:25'!J23)</f>
        <v>0</v>
      </c>
      <c r="K23" s="137">
        <f t="shared" si="0"/>
        <v>0</v>
      </c>
      <c r="L23" s="137">
        <f t="shared" si="1"/>
        <v>0</v>
      </c>
      <c r="M23" s="137">
        <v>210</v>
      </c>
      <c r="N23" s="137">
        <f>M23*1000/(19.2*10*17*60)*T23</f>
        <v>2.1446078431372548</v>
      </c>
      <c r="O23" s="133">
        <f>+SUM('12:25'!O23)</f>
        <v>0</v>
      </c>
      <c r="P23" s="137">
        <f t="shared" si="2"/>
        <v>0</v>
      </c>
      <c r="Q23" s="133">
        <f>+SUM('12:25'!Q23)</f>
        <v>0</v>
      </c>
      <c r="R23" s="19">
        <f t="shared" si="3"/>
        <v>0</v>
      </c>
      <c r="S23" s="137">
        <f t="shared" si="4"/>
        <v>0</v>
      </c>
      <c r="T23" s="20">
        <v>2</v>
      </c>
      <c r="U23" s="133">
        <f>+SUM('12:25'!U23)</f>
        <v>0</v>
      </c>
      <c r="V23" s="143" t="str">
        <f t="array" ref="V23">IF(ISERROR(L23/K23),"",L23/K23)</f>
        <v/>
      </c>
      <c r="W23" s="133">
        <f>+SUM('12:25'!W23)</f>
        <v>0</v>
      </c>
      <c r="X23" s="133">
        <f>+SUM('12:25'!X23)</f>
        <v>0</v>
      </c>
      <c r="Y23" s="133">
        <f>+SUM('12:25'!Y23)</f>
        <v>0</v>
      </c>
      <c r="Z23" s="133">
        <f>+SUM('12:25'!Z23)</f>
        <v>0</v>
      </c>
      <c r="AA23" s="133">
        <f>+SUM('12:25'!AA23)</f>
        <v>0</v>
      </c>
      <c r="AB23" s="133">
        <f>+SUM('12:25'!AB23)</f>
        <v>0</v>
      </c>
      <c r="AC23" s="133">
        <f>+SUM('12:25'!AC23)</f>
        <v>0</v>
      </c>
      <c r="AD23" s="1">
        <f t="shared" si="6"/>
        <v>0</v>
      </c>
      <c r="AE23" s="1"/>
      <c r="AF23" s="1">
        <f t="shared" si="7"/>
        <v>0</v>
      </c>
    </row>
    <row r="24" spans="1:32" ht="21.95" customHeight="1">
      <c r="A24" s="140">
        <v>300115</v>
      </c>
      <c r="B24" s="135" t="s">
        <v>43</v>
      </c>
      <c r="C24" s="226" t="s">
        <v>50</v>
      </c>
      <c r="D24" s="226"/>
      <c r="E24" s="139" t="s">
        <v>41</v>
      </c>
      <c r="F24" s="13"/>
      <c r="G24" s="133">
        <f>+SUM('12:25'!G24)</f>
        <v>0</v>
      </c>
      <c r="H24" s="133">
        <f>+SUM('12:25'!H24)</f>
        <v>0</v>
      </c>
      <c r="I24" s="133">
        <f>+SUM('12:25'!I24)</f>
        <v>0</v>
      </c>
      <c r="J24" s="133">
        <f>+SUM('12:25'!J24)</f>
        <v>0</v>
      </c>
      <c r="K24" s="137">
        <f t="shared" si="0"/>
        <v>0</v>
      </c>
      <c r="L24" s="137">
        <f t="shared" si="1"/>
        <v>0</v>
      </c>
      <c r="M24" s="137">
        <v>210</v>
      </c>
      <c r="N24" s="137">
        <f>M24*1000/(19.2*10*17*60)*T24</f>
        <v>2.1446078431372548</v>
      </c>
      <c r="O24" s="133">
        <f>+SUM('12:25'!O24)</f>
        <v>0</v>
      </c>
      <c r="P24" s="137">
        <f t="shared" si="2"/>
        <v>0</v>
      </c>
      <c r="Q24" s="133">
        <f>+SUM('12:25'!Q24)</f>
        <v>0</v>
      </c>
      <c r="R24" s="19">
        <f t="shared" si="3"/>
        <v>0</v>
      </c>
      <c r="S24" s="137">
        <f t="shared" si="4"/>
        <v>0</v>
      </c>
      <c r="T24" s="20">
        <v>2</v>
      </c>
      <c r="U24" s="133">
        <f>+SUM('12:25'!U24)</f>
        <v>0</v>
      </c>
      <c r="V24" s="143" t="str">
        <f t="array" ref="V24">IF(ISERROR(L24/K24),"",L24/K24)</f>
        <v/>
      </c>
      <c r="W24" s="133">
        <f>+SUM('12:25'!W24)</f>
        <v>0</v>
      </c>
      <c r="X24" s="133">
        <f>+SUM('12:25'!X24)</f>
        <v>0</v>
      </c>
      <c r="Y24" s="133">
        <f>+SUM('12:25'!Y24)</f>
        <v>0</v>
      </c>
      <c r="Z24" s="133">
        <f>+SUM('12:25'!Z24)</f>
        <v>0</v>
      </c>
      <c r="AA24" s="133">
        <f>+SUM('12:25'!AA24)</f>
        <v>0</v>
      </c>
      <c r="AB24" s="133">
        <f>+SUM('12:25'!AB24)</f>
        <v>0</v>
      </c>
      <c r="AC24" s="133">
        <f>+SUM('12:25'!AC24)</f>
        <v>0</v>
      </c>
      <c r="AD24" s="1">
        <f t="shared" si="6"/>
        <v>0</v>
      </c>
      <c r="AE24" s="1"/>
      <c r="AF24" s="1">
        <f t="shared" si="7"/>
        <v>0</v>
      </c>
    </row>
    <row r="25" spans="1:32" ht="21.95" customHeight="1">
      <c r="A25" s="140">
        <v>300011</v>
      </c>
      <c r="B25" s="135" t="s">
        <v>43</v>
      </c>
      <c r="C25" s="226" t="s">
        <v>51</v>
      </c>
      <c r="D25" s="226"/>
      <c r="E25" s="139" t="s">
        <v>40</v>
      </c>
      <c r="F25" s="13"/>
      <c r="G25" s="133">
        <f>+SUM('12:25'!G25)</f>
        <v>0</v>
      </c>
      <c r="H25" s="133">
        <f>+SUM('12:25'!H25)</f>
        <v>0</v>
      </c>
      <c r="I25" s="133">
        <f>+SUM('12:25'!I25)</f>
        <v>0</v>
      </c>
      <c r="J25" s="133">
        <f>+SUM('12:25'!J25)</f>
        <v>0</v>
      </c>
      <c r="K25" s="137">
        <f t="shared" si="0"/>
        <v>0</v>
      </c>
      <c r="L25" s="137">
        <f t="shared" si="1"/>
        <v>0</v>
      </c>
      <c r="M25" s="137">
        <v>524.6</v>
      </c>
      <c r="N25" s="137">
        <f>+M25*1000/(25.4*20*15*60)*T25</f>
        <v>3.4422572178477688</v>
      </c>
      <c r="O25" s="133">
        <f>+SUM('12:25'!O25)</f>
        <v>0</v>
      </c>
      <c r="P25" s="137">
        <f t="shared" si="2"/>
        <v>0</v>
      </c>
      <c r="Q25" s="133">
        <f>+SUM('12:25'!Q25)</f>
        <v>0</v>
      </c>
      <c r="R25" s="19">
        <f t="shared" si="3"/>
        <v>0</v>
      </c>
      <c r="S25" s="137">
        <f t="shared" si="4"/>
        <v>0</v>
      </c>
      <c r="T25" s="20">
        <v>3</v>
      </c>
      <c r="U25" s="133">
        <f>+SUM('12:25'!U25)</f>
        <v>0</v>
      </c>
      <c r="V25" s="143" t="str">
        <f t="array" ref="V25">IF(ISERROR(L25/K25),"",L25/K25)</f>
        <v/>
      </c>
      <c r="W25" s="133">
        <f>+SUM('12:25'!W25)</f>
        <v>0</v>
      </c>
      <c r="X25" s="133">
        <f>+SUM('12:25'!X25)</f>
        <v>0</v>
      </c>
      <c r="Y25" s="133">
        <f>+SUM('12:25'!Y25)</f>
        <v>0</v>
      </c>
      <c r="Z25" s="133">
        <f>+SUM('12:25'!Z25)</f>
        <v>0</v>
      </c>
      <c r="AA25" s="133">
        <f>+SUM('12:25'!AA25)</f>
        <v>0</v>
      </c>
      <c r="AB25" s="133">
        <f>+SUM('12:25'!AB25)</f>
        <v>0</v>
      </c>
      <c r="AC25" s="133">
        <f>+SUM('12:25'!AC25)</f>
        <v>0</v>
      </c>
      <c r="AD25" s="1">
        <f t="shared" si="6"/>
        <v>0</v>
      </c>
      <c r="AE25" s="1">
        <v>118.03</v>
      </c>
      <c r="AF25" s="1">
        <f t="shared" si="7"/>
        <v>0</v>
      </c>
    </row>
    <row r="26" spans="1:32" ht="21.95" customHeight="1">
      <c r="A26" s="140">
        <v>300012</v>
      </c>
      <c r="B26" s="135" t="s">
        <v>43</v>
      </c>
      <c r="C26" s="226" t="s">
        <v>51</v>
      </c>
      <c r="D26" s="226"/>
      <c r="E26" s="139" t="s">
        <v>41</v>
      </c>
      <c r="F26" s="13"/>
      <c r="G26" s="133">
        <f>+SUM('12:25'!G26)</f>
        <v>4</v>
      </c>
      <c r="H26" s="133">
        <f>+SUM('12:25'!H26)</f>
        <v>0</v>
      </c>
      <c r="I26" s="133">
        <f>+SUM('12:25'!I26)</f>
        <v>4</v>
      </c>
      <c r="J26" s="133">
        <f>+SUM('12:25'!J26)</f>
        <v>0</v>
      </c>
      <c r="K26" s="137">
        <f t="shared" si="0"/>
        <v>2098.4</v>
      </c>
      <c r="L26" s="137">
        <f t="shared" si="1"/>
        <v>2098.4</v>
      </c>
      <c r="M26" s="137">
        <v>524.6</v>
      </c>
      <c r="N26" s="137">
        <f>+M26*1000/(25.4*20*15*60)*T26</f>
        <v>3.4422572178477688</v>
      </c>
      <c r="O26" s="133">
        <f>+SUM('12:25'!O26)</f>
        <v>0.5</v>
      </c>
      <c r="P26" s="137">
        <f t="shared" si="2"/>
        <v>15.269028871391075</v>
      </c>
      <c r="Q26" s="133">
        <f>+SUM('12:25'!Q26)</f>
        <v>3.5</v>
      </c>
      <c r="R26" s="19">
        <f t="shared" si="3"/>
        <v>10.5</v>
      </c>
      <c r="S26" s="137">
        <f t="shared" si="4"/>
        <v>-4.7690288713910753</v>
      </c>
      <c r="T26" s="20">
        <v>3</v>
      </c>
      <c r="U26" s="133">
        <f>+SUM('12:25'!U26)</f>
        <v>3</v>
      </c>
      <c r="V26" s="143">
        <f t="array" ref="V26">IF(ISERROR(L26/K26),"",L26/K26)</f>
        <v>1</v>
      </c>
      <c r="W26" s="133">
        <f>+SUM('12:25'!W26)</f>
        <v>0</v>
      </c>
      <c r="X26" s="133">
        <f>+SUM('12:25'!X26)</f>
        <v>0</v>
      </c>
      <c r="Y26" s="133">
        <f>+SUM('12:25'!Y26)</f>
        <v>0</v>
      </c>
      <c r="Z26" s="133">
        <f>+SUM('12:25'!Z26)</f>
        <v>0</v>
      </c>
      <c r="AA26" s="133">
        <f>+SUM('12:25'!AA26)</f>
        <v>1</v>
      </c>
      <c r="AB26" s="133">
        <f>+SUM('12:25'!AB26)</f>
        <v>0</v>
      </c>
      <c r="AC26" s="133">
        <f>+SUM('12:25'!AC26)</f>
        <v>0</v>
      </c>
      <c r="AD26" s="1">
        <f t="shared" si="6"/>
        <v>2.0984000000000003</v>
      </c>
      <c r="AE26" s="1">
        <v>118.03</v>
      </c>
      <c r="AF26" s="1">
        <f t="shared" si="7"/>
        <v>247.67415200000002</v>
      </c>
    </row>
    <row r="27" spans="1:32" ht="21.95" customHeight="1">
      <c r="A27" s="140">
        <v>300013</v>
      </c>
      <c r="B27" s="135" t="s">
        <v>43</v>
      </c>
      <c r="C27" s="226" t="s">
        <v>51</v>
      </c>
      <c r="D27" s="226"/>
      <c r="E27" s="139" t="s">
        <v>42</v>
      </c>
      <c r="F27" s="13"/>
      <c r="G27" s="133">
        <f>+SUM('12:25'!G27)</f>
        <v>0</v>
      </c>
      <c r="H27" s="133">
        <f>+SUM('12:25'!H27)</f>
        <v>0</v>
      </c>
      <c r="I27" s="133">
        <f>+SUM('12:25'!I27)</f>
        <v>0</v>
      </c>
      <c r="J27" s="133">
        <f>+SUM('12:25'!J27)</f>
        <v>0</v>
      </c>
      <c r="K27" s="137">
        <f t="shared" si="0"/>
        <v>0</v>
      </c>
      <c r="L27" s="137">
        <f t="shared" si="1"/>
        <v>0</v>
      </c>
      <c r="M27" s="137">
        <v>524.6</v>
      </c>
      <c r="N27" s="137">
        <f>+M27*1000/(25.4*20*15*60)*T27</f>
        <v>3.4422572178477688</v>
      </c>
      <c r="O27" s="133">
        <f>+SUM('12:25'!O27)</f>
        <v>0</v>
      </c>
      <c r="P27" s="137">
        <f t="shared" si="2"/>
        <v>0</v>
      </c>
      <c r="Q27" s="133">
        <f>+SUM('12:25'!Q27)</f>
        <v>0</v>
      </c>
      <c r="R27" s="19">
        <f t="shared" si="3"/>
        <v>0</v>
      </c>
      <c r="S27" s="137">
        <f t="shared" si="4"/>
        <v>0</v>
      </c>
      <c r="T27" s="20">
        <v>3</v>
      </c>
      <c r="U27" s="133">
        <f>+SUM('12:25'!U27)</f>
        <v>0</v>
      </c>
      <c r="V27" s="143" t="str">
        <f t="array" ref="V27">IF(ISERROR(L27/K27),"",L27/K27)</f>
        <v/>
      </c>
      <c r="W27" s="133">
        <f>+SUM('12:25'!W27)</f>
        <v>0</v>
      </c>
      <c r="X27" s="133">
        <f>+SUM('12:25'!X27)</f>
        <v>0</v>
      </c>
      <c r="Y27" s="133">
        <f>+SUM('12:25'!Y27)</f>
        <v>0</v>
      </c>
      <c r="Z27" s="133">
        <f>+SUM('12:25'!Z27)</f>
        <v>0</v>
      </c>
      <c r="AA27" s="133">
        <f>+SUM('12:25'!AA27)</f>
        <v>0</v>
      </c>
      <c r="AB27" s="133">
        <f>+SUM('12:25'!AB27)</f>
        <v>0</v>
      </c>
      <c r="AC27" s="133">
        <f>+SUM('12:25'!AC27)</f>
        <v>0</v>
      </c>
      <c r="AD27" s="1">
        <f t="shared" si="6"/>
        <v>0</v>
      </c>
      <c r="AE27" s="1">
        <v>118.03</v>
      </c>
      <c r="AF27" s="1">
        <f t="shared" si="7"/>
        <v>0</v>
      </c>
    </row>
    <row r="28" spans="1:32" ht="21" customHeight="1">
      <c r="A28" s="140">
        <v>300016</v>
      </c>
      <c r="B28" s="135" t="s">
        <v>43</v>
      </c>
      <c r="C28" s="226" t="s">
        <v>51</v>
      </c>
      <c r="D28" s="226"/>
      <c r="E28" s="139" t="s">
        <v>38</v>
      </c>
      <c r="F28" s="13"/>
      <c r="G28" s="133">
        <f>+SUM('12:25'!G28)</f>
        <v>0</v>
      </c>
      <c r="H28" s="133">
        <f>+SUM('12:25'!H28)</f>
        <v>0</v>
      </c>
      <c r="I28" s="133">
        <f>+SUM('12:25'!I28)</f>
        <v>0</v>
      </c>
      <c r="J28" s="133">
        <f>+SUM('12:25'!J28)</f>
        <v>0</v>
      </c>
      <c r="K28" s="137">
        <f t="shared" si="0"/>
        <v>0</v>
      </c>
      <c r="L28" s="137">
        <f t="shared" si="1"/>
        <v>0</v>
      </c>
      <c r="M28" s="137">
        <v>524.6</v>
      </c>
      <c r="N28" s="137">
        <f>+M28*1000/(25.4*20*15*60)*T28</f>
        <v>3.4422572178477688</v>
      </c>
      <c r="O28" s="133">
        <f>+SUM('12:25'!O28)</f>
        <v>0</v>
      </c>
      <c r="P28" s="137">
        <f t="shared" si="2"/>
        <v>0</v>
      </c>
      <c r="Q28" s="133">
        <f>+SUM('12:25'!Q28)</f>
        <v>0</v>
      </c>
      <c r="R28" s="19">
        <f t="shared" si="3"/>
        <v>0</v>
      </c>
      <c r="S28" s="137">
        <f t="shared" si="4"/>
        <v>0</v>
      </c>
      <c r="T28" s="20">
        <v>3</v>
      </c>
      <c r="U28" s="133">
        <f>+SUM('12:25'!U28)</f>
        <v>0</v>
      </c>
      <c r="V28" s="143" t="str">
        <f t="array" ref="V28">IF(ISERROR(L28/K28),"",L28/K28)</f>
        <v/>
      </c>
      <c r="W28" s="133">
        <f>+SUM('12:25'!W28)</f>
        <v>0</v>
      </c>
      <c r="X28" s="133">
        <f>+SUM('12:25'!X28)</f>
        <v>0</v>
      </c>
      <c r="Y28" s="133">
        <f>+SUM('12:25'!Y28)</f>
        <v>0</v>
      </c>
      <c r="Z28" s="133">
        <f>+SUM('12:25'!Z28)</f>
        <v>0</v>
      </c>
      <c r="AA28" s="133">
        <f>+SUM('12:25'!AA28)</f>
        <v>0</v>
      </c>
      <c r="AB28" s="133">
        <f>+SUM('12:25'!AB28)</f>
        <v>0</v>
      </c>
      <c r="AC28" s="133">
        <f>+SUM('12:25'!AC28)</f>
        <v>0</v>
      </c>
      <c r="AD28" s="1">
        <f t="shared" si="6"/>
        <v>0</v>
      </c>
      <c r="AE28" s="1">
        <v>118.03</v>
      </c>
      <c r="AF28" s="1">
        <f t="shared" si="7"/>
        <v>0</v>
      </c>
    </row>
    <row r="29" spans="1:32" s="132" customFormat="1" ht="21" customHeight="1">
      <c r="A29" s="126">
        <v>3000435</v>
      </c>
      <c r="B29" s="147" t="s">
        <v>43</v>
      </c>
      <c r="C29" s="239" t="s">
        <v>51</v>
      </c>
      <c r="D29" s="239"/>
      <c r="E29" s="42" t="s">
        <v>309</v>
      </c>
      <c r="F29" s="127"/>
      <c r="G29" s="133">
        <f>+SUM('12:25'!G29)</f>
        <v>0</v>
      </c>
      <c r="H29" s="133">
        <f>+SUM('12:25'!H29)</f>
        <v>0</v>
      </c>
      <c r="I29" s="133">
        <f>+SUM('12:25'!I29)</f>
        <v>0</v>
      </c>
      <c r="J29" s="133">
        <f>+SUM('12:25'!J29)</f>
        <v>0</v>
      </c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33">
        <f>+SUM('12:25'!O29)</f>
        <v>0</v>
      </c>
      <c r="P29" s="15">
        <f t="shared" si="2"/>
        <v>0</v>
      </c>
      <c r="Q29" s="133">
        <f>+SUM('12:25'!Q29)</f>
        <v>0</v>
      </c>
      <c r="R29" s="129">
        <f t="shared" si="3"/>
        <v>0</v>
      </c>
      <c r="S29" s="15">
        <f t="shared" si="4"/>
        <v>0</v>
      </c>
      <c r="T29" s="130">
        <v>3</v>
      </c>
      <c r="U29" s="133">
        <f>+SUM('12:25'!U29)</f>
        <v>0</v>
      </c>
      <c r="V29" s="131"/>
      <c r="W29" s="133">
        <f>+SUM('12:25'!W29)</f>
        <v>0</v>
      </c>
      <c r="X29" s="133">
        <f>+SUM('12:25'!X29)</f>
        <v>0</v>
      </c>
      <c r="Y29" s="133">
        <f>+SUM('12:25'!Y29)</f>
        <v>0</v>
      </c>
      <c r="Z29" s="133">
        <f>+SUM('12:25'!Z29)</f>
        <v>0</v>
      </c>
      <c r="AA29" s="133">
        <f>+SUM('12:25'!AA29)</f>
        <v>0</v>
      </c>
      <c r="AB29" s="133">
        <f>+SUM('12:25'!AB29)</f>
        <v>0</v>
      </c>
      <c r="AC29" s="133">
        <f>+SUM('12:25'!AC29)</f>
        <v>0</v>
      </c>
      <c r="AD29" s="1">
        <f t="shared" si="6"/>
        <v>0</v>
      </c>
      <c r="AE29" s="185">
        <v>118.03</v>
      </c>
      <c r="AF29" s="1">
        <f t="shared" si="7"/>
        <v>0</v>
      </c>
    </row>
    <row r="30" spans="1:32" ht="21.95" customHeight="1">
      <c r="A30" s="140">
        <v>300276</v>
      </c>
      <c r="B30" s="135" t="s">
        <v>43</v>
      </c>
      <c r="C30" s="226" t="s">
        <v>53</v>
      </c>
      <c r="D30" s="226"/>
      <c r="E30" s="139" t="s">
        <v>41</v>
      </c>
      <c r="F30" s="13"/>
      <c r="G30" s="133">
        <f>+SUM('12:25'!G30)</f>
        <v>0</v>
      </c>
      <c r="H30" s="133">
        <f>+SUM('12:25'!H30)</f>
        <v>0</v>
      </c>
      <c r="I30" s="133">
        <f>+SUM('12:25'!I30)</f>
        <v>0</v>
      </c>
      <c r="J30" s="133">
        <f>+SUM('12:25'!J30)</f>
        <v>0</v>
      </c>
      <c r="K30" s="137">
        <f t="shared" si="0"/>
        <v>0</v>
      </c>
      <c r="L30" s="137">
        <f t="shared" si="1"/>
        <v>0</v>
      </c>
      <c r="M30" s="15">
        <v>266</v>
      </c>
      <c r="N30" s="137">
        <f>+M30*1000/(29.8*10*13*60)*T30</f>
        <v>3.4331440371708828</v>
      </c>
      <c r="O30" s="133">
        <f>+SUM('12:25'!O30)</f>
        <v>0</v>
      </c>
      <c r="P30" s="137">
        <f t="shared" si="2"/>
        <v>0</v>
      </c>
      <c r="Q30" s="133">
        <f>+SUM('12:25'!Q30)</f>
        <v>0</v>
      </c>
      <c r="R30" s="19">
        <f t="shared" si="3"/>
        <v>0</v>
      </c>
      <c r="S30" s="137">
        <f t="shared" si="4"/>
        <v>0</v>
      </c>
      <c r="T30" s="20">
        <v>3</v>
      </c>
      <c r="U30" s="133">
        <f>+SUM('12:25'!U30)</f>
        <v>0</v>
      </c>
      <c r="V30" s="143" t="str">
        <f t="array" ref="V30">IF(ISERROR(L30/K30),"",L30/K30)</f>
        <v/>
      </c>
      <c r="W30" s="133">
        <f>+SUM('12:25'!W30)</f>
        <v>0</v>
      </c>
      <c r="X30" s="133">
        <f>+SUM('12:25'!X30)</f>
        <v>0</v>
      </c>
      <c r="Y30" s="133">
        <f>+SUM('12:25'!Y30)</f>
        <v>0</v>
      </c>
      <c r="Z30" s="133">
        <f>+SUM('12:25'!Z30)</f>
        <v>0</v>
      </c>
      <c r="AA30" s="133">
        <f>+SUM('12:25'!AA30)</f>
        <v>0</v>
      </c>
      <c r="AB30" s="133">
        <f>+SUM('12:25'!AB30)</f>
        <v>0</v>
      </c>
      <c r="AC30" s="133">
        <f>+SUM('12:25'!AC30)</f>
        <v>0</v>
      </c>
      <c r="AD30" s="1">
        <f t="shared" si="6"/>
        <v>0</v>
      </c>
      <c r="AE30" s="1">
        <v>288.89999999999998</v>
      </c>
      <c r="AF30" s="1">
        <f t="shared" si="7"/>
        <v>0</v>
      </c>
    </row>
    <row r="31" spans="1:32" ht="21.95" customHeight="1">
      <c r="A31" s="140">
        <v>300277</v>
      </c>
      <c r="B31" s="135" t="s">
        <v>43</v>
      </c>
      <c r="C31" s="226" t="s">
        <v>53</v>
      </c>
      <c r="D31" s="226"/>
      <c r="E31" s="139" t="s">
        <v>39</v>
      </c>
      <c r="F31" s="13"/>
      <c r="G31" s="133">
        <f>+SUM('12:25'!G31)</f>
        <v>0</v>
      </c>
      <c r="H31" s="133">
        <f>+SUM('12:25'!H31)</f>
        <v>0</v>
      </c>
      <c r="I31" s="133">
        <f>+SUM('12:25'!I31)</f>
        <v>0</v>
      </c>
      <c r="J31" s="133">
        <f>+SUM('12:25'!J31)</f>
        <v>0</v>
      </c>
      <c r="K31" s="137">
        <f t="shared" si="0"/>
        <v>0</v>
      </c>
      <c r="L31" s="137">
        <f t="shared" si="1"/>
        <v>0</v>
      </c>
      <c r="M31" s="15">
        <v>266</v>
      </c>
      <c r="N31" s="137">
        <f>+M31*1000/(29.8*10*13*60)*T31</f>
        <v>3.4331440371708828</v>
      </c>
      <c r="O31" s="133">
        <f>+SUM('12:25'!O31)</f>
        <v>0</v>
      </c>
      <c r="P31" s="137">
        <f t="shared" si="2"/>
        <v>0</v>
      </c>
      <c r="Q31" s="133">
        <f>+SUM('12:25'!Q31)</f>
        <v>0</v>
      </c>
      <c r="R31" s="19">
        <f t="shared" si="3"/>
        <v>0</v>
      </c>
      <c r="S31" s="137">
        <f t="shared" si="4"/>
        <v>0</v>
      </c>
      <c r="T31" s="20">
        <v>3</v>
      </c>
      <c r="U31" s="133">
        <f>+SUM('12:25'!U31)</f>
        <v>0</v>
      </c>
      <c r="V31" s="143" t="str">
        <f t="array" ref="V31">IF(ISERROR(L31/K31),"",L31/K31)</f>
        <v/>
      </c>
      <c r="W31" s="133">
        <f>+SUM('12:25'!W31)</f>
        <v>0</v>
      </c>
      <c r="X31" s="133">
        <f>+SUM('12:25'!X31)</f>
        <v>0</v>
      </c>
      <c r="Y31" s="133">
        <f>+SUM('12:25'!Y31)</f>
        <v>0</v>
      </c>
      <c r="Z31" s="133">
        <f>+SUM('12:25'!Z31)</f>
        <v>0</v>
      </c>
      <c r="AA31" s="133">
        <f>+SUM('12:25'!AA31)</f>
        <v>0</v>
      </c>
      <c r="AB31" s="133">
        <f>+SUM('12:25'!AB31)</f>
        <v>0</v>
      </c>
      <c r="AC31" s="133">
        <f>+SUM('12:25'!AC31)</f>
        <v>0</v>
      </c>
      <c r="AD31" s="1">
        <f t="shared" si="6"/>
        <v>0</v>
      </c>
      <c r="AE31" s="1">
        <v>288.89999999999998</v>
      </c>
      <c r="AF31" s="1">
        <f t="shared" si="7"/>
        <v>0</v>
      </c>
    </row>
    <row r="32" spans="1:32" ht="21.95" customHeight="1">
      <c r="A32" s="140">
        <v>300278</v>
      </c>
      <c r="B32" s="135" t="s">
        <v>43</v>
      </c>
      <c r="C32" s="226" t="s">
        <v>53</v>
      </c>
      <c r="D32" s="226"/>
      <c r="E32" s="139" t="s">
        <v>54</v>
      </c>
      <c r="F32" s="13"/>
      <c r="G32" s="133">
        <f>+SUM('12:25'!G32)</f>
        <v>0</v>
      </c>
      <c r="H32" s="133">
        <f>+SUM('12:25'!H32)</f>
        <v>0</v>
      </c>
      <c r="I32" s="133">
        <f>+SUM('12:25'!I32)</f>
        <v>0</v>
      </c>
      <c r="J32" s="133">
        <f>+SUM('12:25'!J32)</f>
        <v>0</v>
      </c>
      <c r="K32" s="137">
        <f t="shared" si="0"/>
        <v>0</v>
      </c>
      <c r="L32" s="137">
        <f t="shared" si="1"/>
        <v>0</v>
      </c>
      <c r="M32" s="15">
        <v>266</v>
      </c>
      <c r="N32" s="137">
        <f>+M32*1000/(29.8*10*13*60)*T32</f>
        <v>3.4331440371708828</v>
      </c>
      <c r="O32" s="133">
        <f>+SUM('12:25'!O32)</f>
        <v>0</v>
      </c>
      <c r="P32" s="137">
        <f t="shared" si="2"/>
        <v>0</v>
      </c>
      <c r="Q32" s="133">
        <f>+SUM('12:25'!Q32)</f>
        <v>0</v>
      </c>
      <c r="R32" s="19">
        <f t="shared" si="3"/>
        <v>0</v>
      </c>
      <c r="S32" s="137">
        <f t="shared" si="4"/>
        <v>0</v>
      </c>
      <c r="T32" s="20">
        <v>3</v>
      </c>
      <c r="U32" s="133">
        <f>+SUM('12:25'!U32)</f>
        <v>0</v>
      </c>
      <c r="V32" s="143" t="str">
        <f t="array" ref="V32">IF(ISERROR(L32/K32),"",L32/K32)</f>
        <v/>
      </c>
      <c r="W32" s="133">
        <f>+SUM('12:25'!W32)</f>
        <v>0</v>
      </c>
      <c r="X32" s="133">
        <f>+SUM('12:25'!X32)</f>
        <v>0</v>
      </c>
      <c r="Y32" s="133">
        <f>+SUM('12:25'!Y32)</f>
        <v>0</v>
      </c>
      <c r="Z32" s="133">
        <f>+SUM('12:25'!Z32)</f>
        <v>0</v>
      </c>
      <c r="AA32" s="133">
        <f>+SUM('12:25'!AA32)</f>
        <v>0</v>
      </c>
      <c r="AB32" s="133">
        <f>+SUM('12:25'!AB32)</f>
        <v>0</v>
      </c>
      <c r="AC32" s="133">
        <f>+SUM('12:25'!AC32)</f>
        <v>0</v>
      </c>
      <c r="AD32" s="1">
        <f t="shared" si="6"/>
        <v>0</v>
      </c>
      <c r="AE32" s="1">
        <v>288.89999999999998</v>
      </c>
      <c r="AF32" s="1">
        <f t="shared" si="7"/>
        <v>0</v>
      </c>
    </row>
    <row r="33" spans="1:32" ht="21.95" customHeight="1">
      <c r="A33" s="140">
        <v>300027</v>
      </c>
      <c r="B33" s="135" t="s">
        <v>55</v>
      </c>
      <c r="C33" s="226" t="s">
        <v>56</v>
      </c>
      <c r="D33" s="226"/>
      <c r="E33" s="139" t="s">
        <v>54</v>
      </c>
      <c r="F33" s="13"/>
      <c r="G33" s="133">
        <f>+SUM('12:25'!G33)</f>
        <v>0</v>
      </c>
      <c r="H33" s="133">
        <f>+SUM('12:25'!H33)</f>
        <v>0</v>
      </c>
      <c r="I33" s="133">
        <f>+SUM('12:25'!I33)</f>
        <v>0</v>
      </c>
      <c r="J33" s="133">
        <f>+SUM('12:25'!J33)</f>
        <v>0</v>
      </c>
      <c r="K33" s="137">
        <f t="shared" si="0"/>
        <v>0</v>
      </c>
      <c r="L33" s="137">
        <f t="shared" si="1"/>
        <v>0</v>
      </c>
      <c r="M33" s="137">
        <v>550.4</v>
      </c>
      <c r="N33" s="137">
        <f>+M33*1000/(31*20*15*60)*T33</f>
        <v>2.9591397849462364</v>
      </c>
      <c r="O33" s="133">
        <f>+SUM('12:25'!O33)</f>
        <v>0</v>
      </c>
      <c r="P33" s="137">
        <f t="shared" si="2"/>
        <v>0</v>
      </c>
      <c r="Q33" s="133">
        <f>+SUM('12:25'!Q33)</f>
        <v>0</v>
      </c>
      <c r="R33" s="19">
        <f t="shared" si="3"/>
        <v>0</v>
      </c>
      <c r="S33" s="137">
        <f t="shared" si="4"/>
        <v>0</v>
      </c>
      <c r="T33" s="20">
        <v>3</v>
      </c>
      <c r="U33" s="133">
        <f>+SUM('12:25'!U33)</f>
        <v>0</v>
      </c>
      <c r="V33" s="143" t="str">
        <f t="array" ref="V33">IF(ISERROR(L33/K33),"",L33/K33)</f>
        <v/>
      </c>
      <c r="W33" s="133">
        <f>+SUM('12:25'!W33)</f>
        <v>0</v>
      </c>
      <c r="X33" s="133">
        <f>+SUM('12:25'!X33)</f>
        <v>0</v>
      </c>
      <c r="Y33" s="133">
        <f>+SUM('12:25'!Y33)</f>
        <v>0</v>
      </c>
      <c r="Z33" s="133">
        <f>+SUM('12:25'!Z33)</f>
        <v>0</v>
      </c>
      <c r="AA33" s="133">
        <f>+SUM('12:25'!AA33)</f>
        <v>0</v>
      </c>
      <c r="AB33" s="133">
        <f>+SUM('12:25'!AB33)</f>
        <v>0</v>
      </c>
      <c r="AC33" s="133">
        <f>+SUM('12:25'!AC33)</f>
        <v>0</v>
      </c>
      <c r="AD33" s="1">
        <f t="shared" si="6"/>
        <v>0</v>
      </c>
      <c r="AE33" s="1">
        <v>104.15</v>
      </c>
      <c r="AF33" s="1">
        <f t="shared" si="7"/>
        <v>0</v>
      </c>
    </row>
    <row r="34" spans="1:32" ht="21.95" customHeight="1">
      <c r="A34" s="140">
        <v>300028</v>
      </c>
      <c r="B34" s="135" t="s">
        <v>55</v>
      </c>
      <c r="C34" s="226" t="s">
        <v>56</v>
      </c>
      <c r="D34" s="226"/>
      <c r="E34" s="139" t="s">
        <v>35</v>
      </c>
      <c r="F34" s="13"/>
      <c r="G34" s="133">
        <f>+SUM('12:25'!G34)</f>
        <v>5</v>
      </c>
      <c r="H34" s="133">
        <f>+SUM('12:25'!H34)</f>
        <v>0</v>
      </c>
      <c r="I34" s="133">
        <f>+SUM('12:25'!I34)</f>
        <v>5</v>
      </c>
      <c r="J34" s="133">
        <f>+SUM('12:25'!J34)</f>
        <v>0</v>
      </c>
      <c r="K34" s="137">
        <f t="shared" si="0"/>
        <v>2752</v>
      </c>
      <c r="L34" s="137">
        <f t="shared" si="1"/>
        <v>2752</v>
      </c>
      <c r="M34" s="137">
        <v>550.4</v>
      </c>
      <c r="N34" s="137">
        <f>+M34*1000/(31*20*15*60)*T34</f>
        <v>2.9591397849462364</v>
      </c>
      <c r="O34" s="133">
        <f>+SUM('12:25'!O34)</f>
        <v>0.5</v>
      </c>
      <c r="P34" s="137">
        <f t="shared" si="2"/>
        <v>16.295698924731184</v>
      </c>
      <c r="Q34" s="133">
        <f>+SUM('12:25'!Q34)</f>
        <v>5</v>
      </c>
      <c r="R34" s="19">
        <f t="shared" si="3"/>
        <v>15</v>
      </c>
      <c r="S34" s="137">
        <f t="shared" si="4"/>
        <v>-1.2956989247311839</v>
      </c>
      <c r="T34" s="20">
        <v>3</v>
      </c>
      <c r="U34" s="133">
        <f>+SUM('12:25'!U34)</f>
        <v>3</v>
      </c>
      <c r="V34" s="143">
        <f t="array" ref="V34">IF(ISERROR(L34/K34),"",L34/K34)</f>
        <v>1</v>
      </c>
      <c r="W34" s="133">
        <f>+SUM('12:25'!W34)</f>
        <v>0</v>
      </c>
      <c r="X34" s="133">
        <f>+SUM('12:25'!X34)</f>
        <v>0</v>
      </c>
      <c r="Y34" s="133">
        <f>+SUM('12:25'!Y34)</f>
        <v>0</v>
      </c>
      <c r="Z34" s="133">
        <f>+SUM('12:25'!Z34)</f>
        <v>0</v>
      </c>
      <c r="AA34" s="133">
        <f>+SUM('12:25'!AA34)</f>
        <v>0</v>
      </c>
      <c r="AB34" s="133">
        <f>+SUM('12:25'!AB34)</f>
        <v>0</v>
      </c>
      <c r="AC34" s="133">
        <f>+SUM('12:25'!AC34)</f>
        <v>0</v>
      </c>
      <c r="AD34" s="1">
        <f t="shared" si="6"/>
        <v>2.7519999999999998</v>
      </c>
      <c r="AE34" s="1">
        <v>104.15</v>
      </c>
      <c r="AF34" s="1">
        <f t="shared" si="7"/>
        <v>286.62079999999997</v>
      </c>
    </row>
    <row r="35" spans="1:32" ht="21.95" customHeight="1">
      <c r="A35" s="140">
        <v>300029</v>
      </c>
      <c r="B35" s="135" t="s">
        <v>55</v>
      </c>
      <c r="C35" s="226" t="s">
        <v>56</v>
      </c>
      <c r="D35" s="226"/>
      <c r="E35" s="139" t="s">
        <v>57</v>
      </c>
      <c r="F35" s="13"/>
      <c r="G35" s="133">
        <f>+SUM('12:25'!G35)</f>
        <v>0</v>
      </c>
      <c r="H35" s="133">
        <f>+SUM('12:25'!H35)</f>
        <v>0</v>
      </c>
      <c r="I35" s="133">
        <f>+SUM('12:25'!I35)</f>
        <v>0</v>
      </c>
      <c r="J35" s="133">
        <f>+SUM('12:25'!J35)</f>
        <v>0</v>
      </c>
      <c r="K35" s="137">
        <f t="shared" si="0"/>
        <v>0</v>
      </c>
      <c r="L35" s="137">
        <f t="shared" si="1"/>
        <v>0</v>
      </c>
      <c r="M35" s="137">
        <v>550.4</v>
      </c>
      <c r="N35" s="137">
        <f>+M35*1000/(31*20*15*60)*T35</f>
        <v>2.9591397849462364</v>
      </c>
      <c r="O35" s="133">
        <f>+SUM('12:25'!O35)</f>
        <v>0</v>
      </c>
      <c r="P35" s="137">
        <f t="shared" si="2"/>
        <v>0</v>
      </c>
      <c r="Q35" s="133">
        <f>+SUM('12:25'!Q35)</f>
        <v>0</v>
      </c>
      <c r="R35" s="19">
        <f t="shared" si="3"/>
        <v>0</v>
      </c>
      <c r="S35" s="137">
        <f t="shared" si="4"/>
        <v>0</v>
      </c>
      <c r="T35" s="20">
        <v>3</v>
      </c>
      <c r="U35" s="133">
        <f>+SUM('12:25'!U35)</f>
        <v>0</v>
      </c>
      <c r="V35" s="143" t="str">
        <f t="array" ref="V35">IF(ISERROR(L35/K35),"",L35/K35)</f>
        <v/>
      </c>
      <c r="W35" s="133">
        <f>+SUM('12:25'!W35)</f>
        <v>0</v>
      </c>
      <c r="X35" s="133">
        <f>+SUM('12:25'!X35)</f>
        <v>0</v>
      </c>
      <c r="Y35" s="133">
        <f>+SUM('12:25'!Y35)</f>
        <v>0</v>
      </c>
      <c r="Z35" s="133">
        <f>+SUM('12:25'!Z35)</f>
        <v>0</v>
      </c>
      <c r="AA35" s="133">
        <f>+SUM('12:25'!AA35)</f>
        <v>0</v>
      </c>
      <c r="AB35" s="133">
        <f>+SUM('12:25'!AB35)</f>
        <v>0</v>
      </c>
      <c r="AC35" s="133">
        <f>+SUM('12:25'!AC35)</f>
        <v>0</v>
      </c>
      <c r="AD35" s="1">
        <f t="shared" si="6"/>
        <v>0</v>
      </c>
      <c r="AE35" s="1">
        <v>104.15</v>
      </c>
      <c r="AF35" s="1">
        <f t="shared" si="7"/>
        <v>0</v>
      </c>
    </row>
    <row r="36" spans="1:32" ht="21.95" customHeight="1">
      <c r="A36" s="140">
        <v>300026</v>
      </c>
      <c r="B36" s="135" t="s">
        <v>55</v>
      </c>
      <c r="C36" s="226" t="s">
        <v>56</v>
      </c>
      <c r="D36" s="226"/>
      <c r="E36" s="139" t="s">
        <v>37</v>
      </c>
      <c r="F36" s="13"/>
      <c r="G36" s="133">
        <f>+SUM('12:25'!G36)</f>
        <v>1.2</v>
      </c>
      <c r="H36" s="133">
        <f>+SUM('12:25'!H36)</f>
        <v>0.2</v>
      </c>
      <c r="I36" s="133">
        <f>+SUM('12:25'!I36)</f>
        <v>1.2</v>
      </c>
      <c r="J36" s="133">
        <f>+SUM('12:25'!J36)</f>
        <v>0</v>
      </c>
      <c r="K36" s="137">
        <f t="shared" si="0"/>
        <v>660.4799999999999</v>
      </c>
      <c r="L36" s="137">
        <f t="shared" si="1"/>
        <v>660.4799999999999</v>
      </c>
      <c r="M36" s="137">
        <v>550.4</v>
      </c>
      <c r="N36" s="137">
        <f>+M36*1000/(31*20*15*60)*T36</f>
        <v>2.9591397849462364</v>
      </c>
      <c r="O36" s="133">
        <f>+SUM('12:25'!O36)</f>
        <v>0</v>
      </c>
      <c r="P36" s="137">
        <f t="shared" si="2"/>
        <v>3.5509677419354837</v>
      </c>
      <c r="Q36" s="133">
        <f>+SUM('12:25'!Q36)</f>
        <v>1</v>
      </c>
      <c r="R36" s="19">
        <f t="shared" si="3"/>
        <v>3</v>
      </c>
      <c r="S36" s="137">
        <f t="shared" si="4"/>
        <v>-0.5509677419354837</v>
      </c>
      <c r="T36" s="20">
        <v>3</v>
      </c>
      <c r="U36" s="133">
        <f>+SUM('12:25'!U36)</f>
        <v>3</v>
      </c>
      <c r="V36" s="143">
        <f t="array" ref="V36">IF(ISERROR(L36/K36),"",L36/K36)</f>
        <v>1</v>
      </c>
      <c r="W36" s="133">
        <f>+SUM('12:25'!W36)</f>
        <v>0</v>
      </c>
      <c r="X36" s="133">
        <f>+SUM('12:25'!X36)</f>
        <v>0</v>
      </c>
      <c r="Y36" s="133">
        <f>+SUM('12:25'!Y36)</f>
        <v>0</v>
      </c>
      <c r="Z36" s="133">
        <f>+SUM('12:25'!Z36)</f>
        <v>0</v>
      </c>
      <c r="AA36" s="133">
        <f>+SUM('12:25'!AA36)</f>
        <v>0</v>
      </c>
      <c r="AB36" s="133">
        <f>+SUM('12:25'!AB36)</f>
        <v>0</v>
      </c>
      <c r="AC36" s="133">
        <f>+SUM('12:25'!AC36)</f>
        <v>0</v>
      </c>
      <c r="AD36" s="1">
        <f t="shared" si="6"/>
        <v>0.66047999999999996</v>
      </c>
      <c r="AE36" s="1">
        <v>104.15</v>
      </c>
      <c r="AF36" s="1">
        <f t="shared" si="7"/>
        <v>68.788991999999993</v>
      </c>
    </row>
    <row r="37" spans="1:32" ht="21.95" customHeight="1">
      <c r="A37" s="140">
        <v>300032</v>
      </c>
      <c r="B37" s="135">
        <v>3002</v>
      </c>
      <c r="C37" s="226" t="s">
        <v>58</v>
      </c>
      <c r="D37" s="226" t="s">
        <v>59</v>
      </c>
      <c r="E37" s="139" t="s">
        <v>35</v>
      </c>
      <c r="F37" s="13"/>
      <c r="G37" s="133">
        <f>+SUM('12:25'!G37)</f>
        <v>0.32</v>
      </c>
      <c r="H37" s="133">
        <f>+SUM('12:25'!H37)</f>
        <v>0.32</v>
      </c>
      <c r="I37" s="133">
        <f>+SUM('12:25'!I37)</f>
        <v>0.32</v>
      </c>
      <c r="J37" s="133">
        <f>+SUM('12:25'!J37)</f>
        <v>0</v>
      </c>
      <c r="K37" s="137">
        <f t="shared" si="0"/>
        <v>91.423999999999992</v>
      </c>
      <c r="L37" s="137">
        <f t="shared" si="1"/>
        <v>91.423999999999992</v>
      </c>
      <c r="M37" s="137">
        <v>285.7</v>
      </c>
      <c r="N37" s="137">
        <f>+M37*1000/(31*10*13*60)*T37</f>
        <v>7.0893300248138953</v>
      </c>
      <c r="O37" s="133">
        <f>+SUM('12:25'!O37)</f>
        <v>0</v>
      </c>
      <c r="P37" s="137">
        <f t="shared" si="2"/>
        <v>2.2685856079404467</v>
      </c>
      <c r="Q37" s="133">
        <f>+SUM('12:25'!Q37)</f>
        <v>1.5</v>
      </c>
      <c r="R37" s="19">
        <f t="shared" si="3"/>
        <v>7.5</v>
      </c>
      <c r="S37" s="137">
        <f t="shared" si="4"/>
        <v>5.2314143920595537</v>
      </c>
      <c r="T37" s="20">
        <v>6</v>
      </c>
      <c r="U37" s="133">
        <f>+SUM('12:25'!U37)</f>
        <v>5</v>
      </c>
      <c r="V37" s="143">
        <f t="array" ref="V37">IF(ISERROR(L37/K37),"",L37/K37)</f>
        <v>1</v>
      </c>
      <c r="W37" s="133">
        <f>+SUM('12:25'!W37)</f>
        <v>0</v>
      </c>
      <c r="X37" s="133">
        <f>+SUM('12:25'!X37)</f>
        <v>0</v>
      </c>
      <c r="Y37" s="133">
        <f>+SUM('12:25'!Y37)</f>
        <v>0</v>
      </c>
      <c r="Z37" s="133">
        <f>+SUM('12:25'!Z37)</f>
        <v>0</v>
      </c>
      <c r="AA37" s="133">
        <f>+SUM('12:25'!AA37)</f>
        <v>9</v>
      </c>
      <c r="AB37" s="133">
        <f>+SUM('12:25'!AB37)</f>
        <v>0</v>
      </c>
      <c r="AC37" s="133">
        <f>+SUM('12:25'!AC37)</f>
        <v>0</v>
      </c>
      <c r="AD37" s="1">
        <f t="shared" si="6"/>
        <v>9.1423999999999991E-2</v>
      </c>
      <c r="AE37" s="1">
        <v>435.96</v>
      </c>
      <c r="AF37" s="1">
        <f t="shared" si="7"/>
        <v>39.857207039999992</v>
      </c>
    </row>
    <row r="38" spans="1:32" ht="21.95" customHeight="1">
      <c r="A38" s="140">
        <v>300413</v>
      </c>
      <c r="B38" s="135">
        <v>3002</v>
      </c>
      <c r="C38" s="237" t="s">
        <v>304</v>
      </c>
      <c r="D38" s="238"/>
      <c r="E38" s="139" t="s">
        <v>302</v>
      </c>
      <c r="F38" s="13"/>
      <c r="G38" s="133">
        <f>+SUM('12:25'!G38)</f>
        <v>3</v>
      </c>
      <c r="H38" s="133">
        <f>+SUM('12:25'!H38)</f>
        <v>0.7</v>
      </c>
      <c r="I38" s="133">
        <f>+SUM('12:25'!I38)</f>
        <v>2.7</v>
      </c>
      <c r="J38" s="133">
        <f>+SUM('12:25'!J38)</f>
        <v>0</v>
      </c>
      <c r="K38" s="137">
        <f t="shared" si="0"/>
        <v>1586.3999999999999</v>
      </c>
      <c r="L38" s="137">
        <f t="shared" si="1"/>
        <v>1427.76</v>
      </c>
      <c r="M38" s="137">
        <v>528.79999999999995</v>
      </c>
      <c r="N38" s="137">
        <f>+M38*1000/(31*10*13*60)*T38</f>
        <v>6.5607940446650126</v>
      </c>
      <c r="O38" s="133">
        <f>+SUM('12:25'!O38)</f>
        <v>0</v>
      </c>
      <c r="P38" s="137">
        <f t="shared" si="2"/>
        <v>17.714143920595536</v>
      </c>
      <c r="Q38" s="133">
        <f>+SUM('12:25'!Q38)</f>
        <v>2</v>
      </c>
      <c r="R38" s="19">
        <f t="shared" si="3"/>
        <v>4</v>
      </c>
      <c r="S38" s="137">
        <f t="shared" si="4"/>
        <v>-13.714143920595536</v>
      </c>
      <c r="T38" s="20">
        <v>3</v>
      </c>
      <c r="U38" s="133">
        <f>+SUM('12:25'!U38)</f>
        <v>2</v>
      </c>
      <c r="V38" s="143"/>
      <c r="W38" s="133">
        <f>+SUM('12:25'!W38)</f>
        <v>0.5</v>
      </c>
      <c r="X38" s="133">
        <f>+SUM('12:25'!X38)</f>
        <v>1</v>
      </c>
      <c r="Y38" s="133">
        <f>+SUM('12:25'!Y38)</f>
        <v>0</v>
      </c>
      <c r="Z38" s="133">
        <f>+SUM('12:25'!Z38)</f>
        <v>0</v>
      </c>
      <c r="AA38" s="133">
        <f>+SUM('12:25'!AA38)</f>
        <v>0.5</v>
      </c>
      <c r="AB38" s="133">
        <f>+SUM('12:25'!AB38)</f>
        <v>0</v>
      </c>
      <c r="AC38" s="133">
        <f>+SUM('12:25'!AC38)</f>
        <v>0</v>
      </c>
      <c r="AD38" s="1">
        <f t="shared" si="6"/>
        <v>1.4277599999999999</v>
      </c>
      <c r="AE38" s="1">
        <v>103.15</v>
      </c>
      <c r="AF38" s="1">
        <f t="shared" si="7"/>
        <v>147.27344400000001</v>
      </c>
    </row>
    <row r="39" spans="1:32" ht="21.95" customHeight="1">
      <c r="A39" s="140">
        <v>300414</v>
      </c>
      <c r="B39" s="135">
        <v>3002</v>
      </c>
      <c r="C39" s="237" t="s">
        <v>304</v>
      </c>
      <c r="D39" s="238"/>
      <c r="E39" s="139" t="s">
        <v>311</v>
      </c>
      <c r="F39" s="13"/>
      <c r="G39" s="133">
        <f>+SUM('12:25'!G39)</f>
        <v>2</v>
      </c>
      <c r="H39" s="133">
        <f>+SUM('12:25'!H39)</f>
        <v>0</v>
      </c>
      <c r="I39" s="133">
        <f>+SUM('12:25'!I39)</f>
        <v>1.9</v>
      </c>
      <c r="J39" s="133">
        <f>+SUM('12:25'!J39)</f>
        <v>50</v>
      </c>
      <c r="K39" s="137">
        <f t="shared" si="0"/>
        <v>1057.5999999999999</v>
      </c>
      <c r="L39" s="137">
        <f t="shared" si="1"/>
        <v>1004.7199999999999</v>
      </c>
      <c r="M39" s="137">
        <v>528.79999999999995</v>
      </c>
      <c r="N39" s="137">
        <f>+M39*1000/(31*10*13*60)*T39</f>
        <v>6.5607940446650126</v>
      </c>
      <c r="O39" s="133">
        <f>+SUM('12:25'!O39)</f>
        <v>0.5</v>
      </c>
      <c r="P39" s="137">
        <f t="shared" si="2"/>
        <v>13.465508684863524</v>
      </c>
      <c r="Q39" s="133">
        <f>+SUM('12:25'!Q39)</f>
        <v>1</v>
      </c>
      <c r="R39" s="19">
        <f t="shared" si="3"/>
        <v>2</v>
      </c>
      <c r="S39" s="137">
        <f t="shared" si="4"/>
        <v>-11.465508684863524</v>
      </c>
      <c r="T39" s="20">
        <v>3</v>
      </c>
      <c r="U39" s="133">
        <f>+SUM('12:25'!U39)</f>
        <v>2</v>
      </c>
      <c r="V39" s="143"/>
      <c r="W39" s="133">
        <f>+SUM('12:25'!W39)</f>
        <v>0</v>
      </c>
      <c r="X39" s="133">
        <f>+SUM('12:25'!X39)</f>
        <v>0</v>
      </c>
      <c r="Y39" s="133">
        <f>+SUM('12:25'!Y39)</f>
        <v>0</v>
      </c>
      <c r="Z39" s="133">
        <f>+SUM('12:25'!Z39)</f>
        <v>0</v>
      </c>
      <c r="AA39" s="133">
        <f>+SUM('12:25'!AA39)</f>
        <v>0</v>
      </c>
      <c r="AB39" s="133">
        <f>+SUM('12:25'!AB39)</f>
        <v>0</v>
      </c>
      <c r="AC39" s="133">
        <f>+SUM('12:25'!AC39)</f>
        <v>0</v>
      </c>
      <c r="AD39" s="1">
        <f t="shared" si="6"/>
        <v>1.0047199999999998</v>
      </c>
      <c r="AE39" s="1">
        <v>103.15</v>
      </c>
      <c r="AF39" s="1">
        <f t="shared" si="7"/>
        <v>103.63686799999999</v>
      </c>
    </row>
    <row r="40" spans="1:32" ht="21.95" customHeight="1">
      <c r="A40" s="140">
        <v>300415</v>
      </c>
      <c r="B40" s="135">
        <v>3002</v>
      </c>
      <c r="C40" s="237" t="s">
        <v>304</v>
      </c>
      <c r="D40" s="238"/>
      <c r="E40" s="139" t="s">
        <v>303</v>
      </c>
      <c r="F40" s="13"/>
      <c r="G40" s="133">
        <f>+SUM('12:25'!G40)</f>
        <v>3</v>
      </c>
      <c r="H40" s="133">
        <f>+SUM('12:25'!H40)</f>
        <v>0</v>
      </c>
      <c r="I40" s="133">
        <f>+SUM('12:25'!I40)</f>
        <v>3</v>
      </c>
      <c r="J40" s="133">
        <f>+SUM('12:25'!J40)</f>
        <v>0</v>
      </c>
      <c r="K40" s="137">
        <f t="shared" si="0"/>
        <v>1586.3999999999999</v>
      </c>
      <c r="L40" s="137">
        <f t="shared" si="1"/>
        <v>1586.3999999999999</v>
      </c>
      <c r="M40" s="137">
        <v>528.79999999999995</v>
      </c>
      <c r="N40" s="137">
        <f>+M40*1000/(31*10*13*60)*T40</f>
        <v>6.5607940446650126</v>
      </c>
      <c r="O40" s="133">
        <f>+SUM('12:25'!O40)</f>
        <v>0.5</v>
      </c>
      <c r="P40" s="137">
        <f t="shared" si="2"/>
        <v>20.682382133995038</v>
      </c>
      <c r="Q40" s="133">
        <f>+SUM('12:25'!Q40)</f>
        <v>6</v>
      </c>
      <c r="R40" s="19">
        <f t="shared" si="3"/>
        <v>12</v>
      </c>
      <c r="S40" s="137">
        <f t="shared" si="4"/>
        <v>-8.6823821339950378</v>
      </c>
      <c r="T40" s="20">
        <v>3</v>
      </c>
      <c r="U40" s="133">
        <f>+SUM('12:25'!U40)</f>
        <v>2</v>
      </c>
      <c r="V40" s="143"/>
      <c r="W40" s="133">
        <f>+SUM('12:25'!W40)</f>
        <v>0</v>
      </c>
      <c r="X40" s="133">
        <f>+SUM('12:25'!X40)</f>
        <v>0</v>
      </c>
      <c r="Y40" s="133">
        <f>+SUM('12:25'!Y40)</f>
        <v>0</v>
      </c>
      <c r="Z40" s="133">
        <f>+SUM('12:25'!Z40)</f>
        <v>0</v>
      </c>
      <c r="AA40" s="133">
        <f>+SUM('12:25'!AA40)</f>
        <v>0</v>
      </c>
      <c r="AB40" s="133">
        <f>+SUM('12:25'!AB40)</f>
        <v>0</v>
      </c>
      <c r="AC40" s="133">
        <f>+SUM('12:25'!AC40)</f>
        <v>0</v>
      </c>
      <c r="AD40" s="1">
        <f t="shared" si="6"/>
        <v>1.5863999999999998</v>
      </c>
      <c r="AE40" s="1">
        <v>103.15</v>
      </c>
      <c r="AF40" s="1">
        <f t="shared" si="7"/>
        <v>163.63715999999999</v>
      </c>
    </row>
    <row r="41" spans="1:32" ht="21.95" customHeight="1">
      <c r="A41" s="140">
        <v>300035</v>
      </c>
      <c r="B41" s="135" t="s">
        <v>60</v>
      </c>
      <c r="C41" s="226" t="s">
        <v>61</v>
      </c>
      <c r="D41" s="226" t="s">
        <v>62</v>
      </c>
      <c r="E41" s="139" t="s">
        <v>35</v>
      </c>
      <c r="F41" s="13"/>
      <c r="G41" s="133">
        <f>+SUM('12:25'!G41)</f>
        <v>0</v>
      </c>
      <c r="H41" s="133">
        <f>+SUM('12:25'!H41)</f>
        <v>0</v>
      </c>
      <c r="I41" s="133">
        <f>+SUM('12:25'!I41)</f>
        <v>0</v>
      </c>
      <c r="J41" s="133">
        <f>+SUM('12:25'!J41)</f>
        <v>0</v>
      </c>
      <c r="K41" s="137">
        <f t="shared" si="0"/>
        <v>0</v>
      </c>
      <c r="L41" s="137">
        <f t="shared" si="1"/>
        <v>0</v>
      </c>
      <c r="M41" s="137">
        <v>366.93</v>
      </c>
      <c r="N41" s="137">
        <f>+M41*1000/(35.8*10*13*60)*T41</f>
        <v>2.6280618822518265</v>
      </c>
      <c r="O41" s="133">
        <f>+SUM('12:25'!O41)</f>
        <v>0</v>
      </c>
      <c r="P41" s="137">
        <f t="shared" si="2"/>
        <v>0</v>
      </c>
      <c r="Q41" s="133">
        <f>+SUM('12:25'!Q41)</f>
        <v>0</v>
      </c>
      <c r="R41" s="19">
        <f t="shared" si="3"/>
        <v>0</v>
      </c>
      <c r="S41" s="137">
        <f t="shared" si="4"/>
        <v>0</v>
      </c>
      <c r="T41" s="20">
        <v>2</v>
      </c>
      <c r="U41" s="133">
        <f>+SUM('12:25'!U41)</f>
        <v>0</v>
      </c>
      <c r="V41" s="143" t="str">
        <f t="array" ref="V41">IF(ISERROR(L41/K41),"",L41/K41)</f>
        <v/>
      </c>
      <c r="W41" s="133">
        <f>+SUM('12:25'!W41)</f>
        <v>0</v>
      </c>
      <c r="X41" s="133">
        <f>+SUM('12:25'!X41)</f>
        <v>0</v>
      </c>
      <c r="Y41" s="133">
        <f>+SUM('12:25'!Y41)</f>
        <v>0</v>
      </c>
      <c r="Z41" s="133">
        <f>+SUM('12:25'!Z41)</f>
        <v>0</v>
      </c>
      <c r="AA41" s="133">
        <f>+SUM('12:25'!AA41)</f>
        <v>0</v>
      </c>
      <c r="AB41" s="133">
        <f>+SUM('12:25'!AB41)</f>
        <v>0</v>
      </c>
      <c r="AC41" s="133">
        <f>+SUM('12:25'!AC41)</f>
        <v>0</v>
      </c>
      <c r="AD41" s="1">
        <f t="shared" si="6"/>
        <v>0</v>
      </c>
      <c r="AE41" s="1"/>
      <c r="AF41" s="1">
        <f t="shared" si="7"/>
        <v>0</v>
      </c>
    </row>
    <row r="42" spans="1:32" ht="21.95" customHeight="1">
      <c r="A42" s="140">
        <v>300036</v>
      </c>
      <c r="B42" s="135" t="s">
        <v>60</v>
      </c>
      <c r="C42" s="226" t="s">
        <v>61</v>
      </c>
      <c r="D42" s="226" t="s">
        <v>62</v>
      </c>
      <c r="E42" s="139" t="s">
        <v>63</v>
      </c>
      <c r="F42" s="13"/>
      <c r="G42" s="133">
        <f>+SUM('12:25'!G42)</f>
        <v>3.12</v>
      </c>
      <c r="H42" s="133">
        <f>+SUM('12:25'!H42)</f>
        <v>0</v>
      </c>
      <c r="I42" s="133">
        <f>+SUM('12:25'!I42)</f>
        <v>3.12</v>
      </c>
      <c r="J42" s="133">
        <f>+SUM('12:25'!J42)</f>
        <v>220</v>
      </c>
      <c r="K42" s="137">
        <f t="shared" si="0"/>
        <v>1144.8216</v>
      </c>
      <c r="L42" s="137">
        <f t="shared" si="1"/>
        <v>1144.8216</v>
      </c>
      <c r="M42" s="137">
        <v>366.93</v>
      </c>
      <c r="N42" s="137">
        <f>+M42*1000/(35.8*10*13*60)*T42</f>
        <v>2.6280618822518265</v>
      </c>
      <c r="O42" s="133">
        <f>+SUM('12:25'!O42)</f>
        <v>0</v>
      </c>
      <c r="P42" s="137">
        <f t="shared" si="2"/>
        <v>8.1995530726256991</v>
      </c>
      <c r="Q42" s="133">
        <f>+SUM('12:25'!Q42)</f>
        <v>4</v>
      </c>
      <c r="R42" s="19">
        <f t="shared" si="3"/>
        <v>12</v>
      </c>
      <c r="S42" s="137">
        <f t="shared" si="4"/>
        <v>3.8004469273743009</v>
      </c>
      <c r="T42" s="20">
        <v>2</v>
      </c>
      <c r="U42" s="133">
        <f>+SUM('12:25'!U42)</f>
        <v>3</v>
      </c>
      <c r="V42" s="143">
        <f t="array" ref="V42">IF(ISERROR(L42/K42),"",L42/K42)</f>
        <v>1</v>
      </c>
      <c r="W42" s="133">
        <f>+SUM('12:25'!W42)</f>
        <v>0</v>
      </c>
      <c r="X42" s="133">
        <f>+SUM('12:25'!X42)</f>
        <v>0</v>
      </c>
      <c r="Y42" s="133">
        <f>+SUM('12:25'!Y42)</f>
        <v>0</v>
      </c>
      <c r="Z42" s="133">
        <f>+SUM('12:25'!Z42)</f>
        <v>0</v>
      </c>
      <c r="AA42" s="133">
        <f>+SUM('12:25'!AA42)</f>
        <v>7</v>
      </c>
      <c r="AB42" s="133">
        <f>+SUM('12:25'!AB42)</f>
        <v>0</v>
      </c>
      <c r="AC42" s="133">
        <f>+SUM('12:25'!AC42)</f>
        <v>0</v>
      </c>
      <c r="AD42" s="1">
        <f t="shared" si="6"/>
        <v>1.1448216</v>
      </c>
      <c r="AE42" s="1">
        <v>312.63</v>
      </c>
      <c r="AF42" s="1">
        <f t="shared" si="7"/>
        <v>357.90557680799998</v>
      </c>
    </row>
    <row r="43" spans="1:32" ht="21.95" customHeight="1">
      <c r="A43" s="140">
        <v>300037</v>
      </c>
      <c r="B43" s="135" t="s">
        <v>60</v>
      </c>
      <c r="C43" s="226" t="s">
        <v>61</v>
      </c>
      <c r="D43" s="226" t="s">
        <v>62</v>
      </c>
      <c r="E43" s="139" t="s">
        <v>37</v>
      </c>
      <c r="F43" s="13"/>
      <c r="G43" s="133">
        <f>+SUM('12:25'!G43)</f>
        <v>0</v>
      </c>
      <c r="H43" s="133">
        <f>+SUM('12:25'!H43)</f>
        <v>0</v>
      </c>
      <c r="I43" s="133">
        <f>+SUM('12:25'!I43)</f>
        <v>0</v>
      </c>
      <c r="J43" s="133">
        <f>+SUM('12:25'!J43)</f>
        <v>0</v>
      </c>
      <c r="K43" s="137">
        <f t="shared" si="0"/>
        <v>0</v>
      </c>
      <c r="L43" s="137">
        <f t="shared" si="1"/>
        <v>0</v>
      </c>
      <c r="M43" s="137">
        <v>366.93</v>
      </c>
      <c r="N43" s="137">
        <f>+M43*1000/(35.8*10*13*60)*T43</f>
        <v>2.6280618822518265</v>
      </c>
      <c r="O43" s="133">
        <f>+SUM('12:25'!O43)</f>
        <v>0</v>
      </c>
      <c r="P43" s="137">
        <f t="shared" si="2"/>
        <v>0</v>
      </c>
      <c r="Q43" s="133">
        <f>+SUM('12:25'!Q43)</f>
        <v>0</v>
      </c>
      <c r="R43" s="19">
        <f t="shared" si="3"/>
        <v>0</v>
      </c>
      <c r="S43" s="137">
        <f t="shared" si="4"/>
        <v>0</v>
      </c>
      <c r="T43" s="20">
        <v>2</v>
      </c>
      <c r="U43" s="133">
        <f>+SUM('12:25'!U43)</f>
        <v>0</v>
      </c>
      <c r="V43" s="143" t="str">
        <f t="array" ref="V43">IF(ISERROR(L43/K43),"",L43/K43)</f>
        <v/>
      </c>
      <c r="W43" s="133">
        <f>+SUM('12:25'!W43)</f>
        <v>0</v>
      </c>
      <c r="X43" s="133">
        <f>+SUM('12:25'!X43)</f>
        <v>0</v>
      </c>
      <c r="Y43" s="133">
        <f>+SUM('12:25'!Y43)</f>
        <v>0</v>
      </c>
      <c r="Z43" s="133">
        <f>+SUM('12:25'!Z43)</f>
        <v>0</v>
      </c>
      <c r="AA43" s="133">
        <f>+SUM('12:25'!AA43)</f>
        <v>0</v>
      </c>
      <c r="AB43" s="133">
        <f>+SUM('12:25'!AB43)</f>
        <v>0</v>
      </c>
      <c r="AC43" s="133">
        <f>+SUM('12:25'!AC43)</f>
        <v>0</v>
      </c>
      <c r="AD43" s="1">
        <f t="shared" si="6"/>
        <v>0</v>
      </c>
      <c r="AE43" s="1">
        <v>312.63</v>
      </c>
      <c r="AF43" s="1">
        <f t="shared" si="7"/>
        <v>0</v>
      </c>
    </row>
    <row r="44" spans="1:32" ht="21.95" customHeight="1">
      <c r="A44" s="140">
        <v>300038</v>
      </c>
      <c r="B44" s="135" t="s">
        <v>60</v>
      </c>
      <c r="C44" s="226" t="s">
        <v>64</v>
      </c>
      <c r="D44" s="226" t="s">
        <v>65</v>
      </c>
      <c r="E44" s="139" t="s">
        <v>35</v>
      </c>
      <c r="F44" s="13"/>
      <c r="G44" s="133">
        <f>+SUM('12:25'!G44)</f>
        <v>0</v>
      </c>
      <c r="H44" s="133">
        <f>+SUM('12:25'!H44)</f>
        <v>0</v>
      </c>
      <c r="I44" s="133">
        <f>+SUM('12:25'!I44)</f>
        <v>0</v>
      </c>
      <c r="J44" s="133">
        <f>+SUM('12:25'!J44)</f>
        <v>0</v>
      </c>
      <c r="K44" s="137">
        <f t="shared" si="0"/>
        <v>0</v>
      </c>
      <c r="L44" s="137">
        <f t="shared" si="1"/>
        <v>0</v>
      </c>
      <c r="M44" s="137">
        <v>301.14</v>
      </c>
      <c r="N44" s="137">
        <f>+M44*1000/(35.8*10*13*60)*T44</f>
        <v>5.3921357971637294</v>
      </c>
      <c r="O44" s="133">
        <f>+SUM('12:25'!O44)</f>
        <v>0</v>
      </c>
      <c r="P44" s="137">
        <f t="shared" si="2"/>
        <v>0</v>
      </c>
      <c r="Q44" s="133">
        <f>+SUM('12:25'!Q44)</f>
        <v>0</v>
      </c>
      <c r="R44" s="19">
        <f t="shared" si="3"/>
        <v>0</v>
      </c>
      <c r="S44" s="137">
        <f t="shared" si="4"/>
        <v>0</v>
      </c>
      <c r="T44" s="20">
        <v>5</v>
      </c>
      <c r="U44" s="133">
        <f>+SUM('12:25'!U44)</f>
        <v>0</v>
      </c>
      <c r="V44" s="143" t="str">
        <f t="array" ref="V44">IF(ISERROR(L44/K44),"",L44/K44)</f>
        <v/>
      </c>
      <c r="W44" s="133">
        <f>+SUM('12:25'!W44)</f>
        <v>0</v>
      </c>
      <c r="X44" s="133">
        <f>+SUM('12:25'!X44)</f>
        <v>0</v>
      </c>
      <c r="Y44" s="133">
        <f>+SUM('12:25'!Y44)</f>
        <v>0</v>
      </c>
      <c r="Z44" s="133">
        <f>+SUM('12:25'!Z44)</f>
        <v>0</v>
      </c>
      <c r="AA44" s="133">
        <f>+SUM('12:25'!AA44)</f>
        <v>0</v>
      </c>
      <c r="AB44" s="133">
        <f>+SUM('12:25'!AB44)</f>
        <v>0</v>
      </c>
      <c r="AC44" s="133">
        <f>+SUM('12:25'!AC44)</f>
        <v>0</v>
      </c>
      <c r="AD44" s="1">
        <f t="shared" si="6"/>
        <v>0</v>
      </c>
      <c r="AE44" s="1">
        <v>369.77</v>
      </c>
      <c r="AF44" s="1">
        <f t="shared" si="7"/>
        <v>0</v>
      </c>
    </row>
    <row r="45" spans="1:32" ht="21.95" customHeight="1">
      <c r="A45" s="140">
        <v>300039</v>
      </c>
      <c r="B45" s="135" t="s">
        <v>60</v>
      </c>
      <c r="C45" s="226" t="s">
        <v>64</v>
      </c>
      <c r="D45" s="226" t="s">
        <v>65</v>
      </c>
      <c r="E45" s="139" t="s">
        <v>66</v>
      </c>
      <c r="F45" s="13"/>
      <c r="G45" s="133">
        <f>+SUM('12:25'!G45)</f>
        <v>0</v>
      </c>
      <c r="H45" s="133">
        <f>+SUM('12:25'!H45)</f>
        <v>0</v>
      </c>
      <c r="I45" s="133">
        <f>+SUM('12:25'!I45)</f>
        <v>0</v>
      </c>
      <c r="J45" s="133">
        <f>+SUM('12:25'!J45)</f>
        <v>0</v>
      </c>
      <c r="K45" s="137">
        <f t="shared" si="0"/>
        <v>0</v>
      </c>
      <c r="L45" s="137">
        <f t="shared" si="1"/>
        <v>0</v>
      </c>
      <c r="M45" s="137">
        <v>310.39999999999998</v>
      </c>
      <c r="N45" s="137">
        <f>+M45*1000/(35.8*10*13*60)*T45</f>
        <v>5.557942988110586</v>
      </c>
      <c r="O45" s="133">
        <f>+SUM('12:25'!O45)</f>
        <v>0</v>
      </c>
      <c r="P45" s="137">
        <f t="shared" si="2"/>
        <v>0</v>
      </c>
      <c r="Q45" s="133">
        <f>+SUM('12:25'!Q45)</f>
        <v>0</v>
      </c>
      <c r="R45" s="19">
        <f t="shared" si="3"/>
        <v>0</v>
      </c>
      <c r="S45" s="137">
        <f t="shared" si="4"/>
        <v>0</v>
      </c>
      <c r="T45" s="20">
        <v>5</v>
      </c>
      <c r="U45" s="133">
        <f>+SUM('12:25'!U45)</f>
        <v>0</v>
      </c>
      <c r="V45" s="143" t="str">
        <f t="array" ref="V45">IF(ISERROR(L45/K45),"",L45/K45)</f>
        <v/>
      </c>
      <c r="W45" s="133">
        <f>+SUM('12:25'!W45)</f>
        <v>0</v>
      </c>
      <c r="X45" s="133">
        <f>+SUM('12:25'!X45)</f>
        <v>0</v>
      </c>
      <c r="Y45" s="133">
        <f>+SUM('12:25'!Y45)</f>
        <v>0</v>
      </c>
      <c r="Z45" s="133">
        <f>+SUM('12:25'!Z45)</f>
        <v>0</v>
      </c>
      <c r="AA45" s="133">
        <f>+SUM('12:25'!AA45)</f>
        <v>0</v>
      </c>
      <c r="AB45" s="133">
        <f>+SUM('12:25'!AB45)</f>
        <v>0</v>
      </c>
      <c r="AC45" s="133">
        <f>+SUM('12:25'!AC45)</f>
        <v>0</v>
      </c>
      <c r="AD45" s="1">
        <f t="shared" si="6"/>
        <v>0</v>
      </c>
      <c r="AE45" s="1">
        <v>400.58</v>
      </c>
      <c r="AF45" s="1">
        <f t="shared" si="7"/>
        <v>0</v>
      </c>
    </row>
    <row r="46" spans="1:32" s="2" customFormat="1" ht="21" customHeight="1">
      <c r="A46" s="140">
        <v>300416</v>
      </c>
      <c r="B46" s="135" t="s">
        <v>67</v>
      </c>
      <c r="C46" s="237" t="s">
        <v>68</v>
      </c>
      <c r="D46" s="238"/>
      <c r="E46" s="139" t="s">
        <v>69</v>
      </c>
      <c r="F46" s="141"/>
      <c r="G46" s="133">
        <f>+SUM('12:25'!G46)</f>
        <v>5</v>
      </c>
      <c r="H46" s="133">
        <f>+SUM('12:25'!H46)</f>
        <v>0</v>
      </c>
      <c r="I46" s="133">
        <f>+SUM('12:25'!I46)</f>
        <v>5</v>
      </c>
      <c r="J46" s="133">
        <f>+SUM('12:25'!J46)</f>
        <v>0</v>
      </c>
      <c r="K46" s="137">
        <f t="shared" si="0"/>
        <v>1928</v>
      </c>
      <c r="L46" s="137">
        <f t="shared" si="1"/>
        <v>1928</v>
      </c>
      <c r="M46" s="137">
        <v>385.6</v>
      </c>
      <c r="N46" s="137">
        <f>+M46*1000/(25.4*20*15*60)*T46</f>
        <v>2.5301837270341205</v>
      </c>
      <c r="O46" s="133">
        <f>+SUM('12:25'!O46)</f>
        <v>0</v>
      </c>
      <c r="P46" s="137">
        <f t="shared" si="2"/>
        <v>12.650918635170603</v>
      </c>
      <c r="Q46" s="133">
        <f>+SUM('12:25'!Q46)</f>
        <v>7</v>
      </c>
      <c r="R46" s="19">
        <f t="shared" si="3"/>
        <v>28</v>
      </c>
      <c r="S46" s="137">
        <f t="shared" si="4"/>
        <v>15.349081364829397</v>
      </c>
      <c r="T46" s="20">
        <v>3</v>
      </c>
      <c r="U46" s="133">
        <f>+SUM('12:25'!U46)</f>
        <v>4</v>
      </c>
      <c r="V46" s="143"/>
      <c r="W46" s="133">
        <f>+SUM('12:25'!W46)</f>
        <v>0</v>
      </c>
      <c r="X46" s="133">
        <f>+SUM('12:25'!X46)</f>
        <v>0.5</v>
      </c>
      <c r="Y46" s="133">
        <f>+SUM('12:25'!Y46)</f>
        <v>0</v>
      </c>
      <c r="Z46" s="133">
        <f>+SUM('12:25'!Z46)</f>
        <v>0</v>
      </c>
      <c r="AA46" s="133">
        <f>+SUM('12:25'!AA46)</f>
        <v>2.5</v>
      </c>
      <c r="AB46" s="133">
        <f>+SUM('12:25'!AB46)</f>
        <v>0</v>
      </c>
      <c r="AC46" s="133">
        <f>+SUM('12:25'!AC46)</f>
        <v>0</v>
      </c>
      <c r="AD46" s="1">
        <f t="shared" si="6"/>
        <v>1.9279999999999999</v>
      </c>
      <c r="AE46" s="52">
        <v>173.27</v>
      </c>
      <c r="AF46" s="1">
        <f t="shared" si="7"/>
        <v>334.06456000000003</v>
      </c>
    </row>
    <row r="47" spans="1:32" s="2" customFormat="1" ht="21" customHeight="1">
      <c r="A47" s="140">
        <v>300417</v>
      </c>
      <c r="B47" s="135" t="s">
        <v>67</v>
      </c>
      <c r="C47" s="237" t="s">
        <v>68</v>
      </c>
      <c r="D47" s="238"/>
      <c r="E47" s="139" t="s">
        <v>70</v>
      </c>
      <c r="F47" s="141"/>
      <c r="G47" s="133">
        <f>+SUM('12:25'!G47)</f>
        <v>0</v>
      </c>
      <c r="H47" s="133">
        <f>+SUM('12:25'!H47)</f>
        <v>0</v>
      </c>
      <c r="I47" s="133">
        <f>+SUM('12:25'!I47)</f>
        <v>0</v>
      </c>
      <c r="J47" s="133">
        <f>+SUM('12:25'!J47)</f>
        <v>0</v>
      </c>
      <c r="K47" s="137">
        <f t="shared" si="0"/>
        <v>0</v>
      </c>
      <c r="L47" s="137">
        <f t="shared" si="1"/>
        <v>0</v>
      </c>
      <c r="M47" s="137">
        <v>385.6</v>
      </c>
      <c r="N47" s="137">
        <f>+M47*1000/(25.4*20*15*60)*T47</f>
        <v>2.5301837270341205</v>
      </c>
      <c r="O47" s="133">
        <f>+SUM('12:25'!O47)</f>
        <v>0</v>
      </c>
      <c r="P47" s="137">
        <f t="shared" si="2"/>
        <v>0</v>
      </c>
      <c r="Q47" s="133">
        <f>+SUM('12:25'!Q47)</f>
        <v>0</v>
      </c>
      <c r="R47" s="19">
        <f t="shared" si="3"/>
        <v>0</v>
      </c>
      <c r="S47" s="137">
        <f t="shared" si="4"/>
        <v>0</v>
      </c>
      <c r="T47" s="20">
        <v>3</v>
      </c>
      <c r="U47" s="133">
        <f>+SUM('12:25'!U47)</f>
        <v>0</v>
      </c>
      <c r="V47" s="143"/>
      <c r="W47" s="133">
        <f>+SUM('12:25'!W47)</f>
        <v>0</v>
      </c>
      <c r="X47" s="133">
        <f>+SUM('12:25'!X47)</f>
        <v>0</v>
      </c>
      <c r="Y47" s="133">
        <f>+SUM('12:25'!Y47)</f>
        <v>0</v>
      </c>
      <c r="Z47" s="133">
        <f>+SUM('12:25'!Z47)</f>
        <v>0</v>
      </c>
      <c r="AA47" s="133">
        <f>+SUM('12:25'!AA47)</f>
        <v>0</v>
      </c>
      <c r="AB47" s="133">
        <f>+SUM('12:25'!AB47)</f>
        <v>0</v>
      </c>
      <c r="AC47" s="133">
        <f>+SUM('12:25'!AC47)</f>
        <v>0</v>
      </c>
      <c r="AD47" s="1">
        <f t="shared" si="6"/>
        <v>0</v>
      </c>
      <c r="AE47" s="52">
        <v>173.27</v>
      </c>
      <c r="AF47" s="1">
        <f t="shared" si="7"/>
        <v>0</v>
      </c>
    </row>
    <row r="48" spans="1:32" s="2" customFormat="1" ht="21" customHeight="1">
      <c r="A48" s="140">
        <v>300418</v>
      </c>
      <c r="B48" s="135" t="s">
        <v>67</v>
      </c>
      <c r="C48" s="237" t="s">
        <v>68</v>
      </c>
      <c r="D48" s="238"/>
      <c r="E48" s="139" t="s">
        <v>71</v>
      </c>
      <c r="F48" s="141"/>
      <c r="G48" s="133">
        <f>+SUM('12:25'!G48)</f>
        <v>5</v>
      </c>
      <c r="H48" s="133">
        <f>+SUM('12:25'!H48)</f>
        <v>0</v>
      </c>
      <c r="I48" s="133">
        <f>+SUM('12:25'!I48)</f>
        <v>5</v>
      </c>
      <c r="J48" s="133">
        <f>+SUM('12:25'!J48)</f>
        <v>0</v>
      </c>
      <c r="K48" s="137">
        <f t="shared" si="0"/>
        <v>1928</v>
      </c>
      <c r="L48" s="137">
        <f t="shared" si="1"/>
        <v>1928</v>
      </c>
      <c r="M48" s="137">
        <v>385.6</v>
      </c>
      <c r="N48" s="137">
        <f>+M48*1000/(25.4*20*15*60)*T48</f>
        <v>2.5301837270341205</v>
      </c>
      <c r="O48" s="133">
        <f>+SUM('12:25'!O48)</f>
        <v>0.5</v>
      </c>
      <c r="P48" s="137">
        <f t="shared" si="2"/>
        <v>13.650918635170603</v>
      </c>
      <c r="Q48" s="133">
        <f>+SUM('12:25'!Q48)</f>
        <v>6.5</v>
      </c>
      <c r="R48" s="19">
        <f t="shared" si="3"/>
        <v>13</v>
      </c>
      <c r="S48" s="137">
        <f t="shared" si="4"/>
        <v>-0.65091863517060311</v>
      </c>
      <c r="T48" s="20">
        <v>3</v>
      </c>
      <c r="U48" s="133">
        <f>+SUM('12:25'!U48)</f>
        <v>2</v>
      </c>
      <c r="V48" s="143"/>
      <c r="W48" s="133">
        <f>+SUM('12:25'!W48)</f>
        <v>0</v>
      </c>
      <c r="X48" s="133">
        <f>+SUM('12:25'!X48)</f>
        <v>0</v>
      </c>
      <c r="Y48" s="133">
        <f>+SUM('12:25'!Y48)</f>
        <v>0</v>
      </c>
      <c r="Z48" s="133">
        <f>+SUM('12:25'!Z48)</f>
        <v>0</v>
      </c>
      <c r="AA48" s="133">
        <f>+SUM('12:25'!AA48)</f>
        <v>1.5</v>
      </c>
      <c r="AB48" s="133">
        <f>+SUM('12:25'!AB48)</f>
        <v>0</v>
      </c>
      <c r="AC48" s="133">
        <f>+SUM('12:25'!AC48)</f>
        <v>0</v>
      </c>
      <c r="AD48" s="1">
        <f t="shared" si="6"/>
        <v>1.9279999999999999</v>
      </c>
      <c r="AE48" s="52">
        <v>173.27</v>
      </c>
      <c r="AF48" s="1">
        <f t="shared" si="7"/>
        <v>334.06456000000003</v>
      </c>
    </row>
    <row r="49" spans="1:32" s="2" customFormat="1" ht="21" customHeight="1">
      <c r="A49" s="140">
        <v>300419</v>
      </c>
      <c r="B49" s="135" t="s">
        <v>67</v>
      </c>
      <c r="C49" s="237" t="s">
        <v>68</v>
      </c>
      <c r="D49" s="238"/>
      <c r="E49" s="139" t="s">
        <v>72</v>
      </c>
      <c r="F49" s="141"/>
      <c r="G49" s="133">
        <f>+SUM('12:25'!G49)</f>
        <v>2.2285714285714286</v>
      </c>
      <c r="H49" s="133">
        <f>+SUM('12:25'!H49)</f>
        <v>0.22857142857142856</v>
      </c>
      <c r="I49" s="133">
        <f>+SUM('12:25'!I49)</f>
        <v>2.2285714285714286</v>
      </c>
      <c r="J49" s="133">
        <f>+SUM('12:25'!J49)</f>
        <v>0</v>
      </c>
      <c r="K49" s="137">
        <f t="shared" si="0"/>
        <v>859.33714285714291</v>
      </c>
      <c r="L49" s="137">
        <f t="shared" si="1"/>
        <v>859.33714285714291</v>
      </c>
      <c r="M49" s="137">
        <v>385.6</v>
      </c>
      <c r="N49" s="137">
        <f>+M49*1000/(25.4*20*15*60)*T49</f>
        <v>2.5301837270341205</v>
      </c>
      <c r="O49" s="133">
        <f>+SUM('12:25'!O49)</f>
        <v>0</v>
      </c>
      <c r="P49" s="137">
        <f t="shared" si="2"/>
        <v>5.6386951631046118</v>
      </c>
      <c r="Q49" s="133">
        <f>+SUM('12:25'!Q49)</f>
        <v>2</v>
      </c>
      <c r="R49" s="19">
        <f t="shared" si="3"/>
        <v>4</v>
      </c>
      <c r="S49" s="137">
        <f t="shared" si="4"/>
        <v>-1.6386951631046118</v>
      </c>
      <c r="T49" s="20">
        <v>3</v>
      </c>
      <c r="U49" s="133">
        <f>+SUM('12:25'!U49)</f>
        <v>2</v>
      </c>
      <c r="V49" s="143"/>
      <c r="W49" s="133">
        <f>+SUM('12:25'!W49)</f>
        <v>0</v>
      </c>
      <c r="X49" s="133">
        <f>+SUM('12:25'!X49)</f>
        <v>0</v>
      </c>
      <c r="Y49" s="133">
        <f>+SUM('12:25'!Y49)</f>
        <v>0</v>
      </c>
      <c r="Z49" s="133">
        <f>+SUM('12:25'!Z49)</f>
        <v>0</v>
      </c>
      <c r="AA49" s="133">
        <f>+SUM('12:25'!AA49)</f>
        <v>0</v>
      </c>
      <c r="AB49" s="133">
        <f>+SUM('12:25'!AB49)</f>
        <v>0</v>
      </c>
      <c r="AC49" s="133">
        <f>+SUM('12:25'!AC49)</f>
        <v>0</v>
      </c>
      <c r="AD49" s="1">
        <f t="shared" si="6"/>
        <v>0.85933714285714291</v>
      </c>
      <c r="AE49" s="52">
        <v>173.27</v>
      </c>
      <c r="AF49" s="1">
        <f t="shared" si="7"/>
        <v>148.89734674285717</v>
      </c>
    </row>
    <row r="50" spans="1:32" ht="21.95" customHeight="1">
      <c r="A50" s="140">
        <v>300260</v>
      </c>
      <c r="B50" s="135" t="s">
        <v>67</v>
      </c>
      <c r="C50" s="226" t="s">
        <v>73</v>
      </c>
      <c r="D50" s="226"/>
      <c r="E50" s="139" t="s">
        <v>74</v>
      </c>
      <c r="F50" s="13"/>
      <c r="G50" s="133">
        <f>+SUM('12:25'!G50)</f>
        <v>0</v>
      </c>
      <c r="H50" s="133">
        <f>+SUM('12:25'!H50)</f>
        <v>0</v>
      </c>
      <c r="I50" s="133">
        <f>+SUM('12:25'!I50)</f>
        <v>0</v>
      </c>
      <c r="J50" s="133">
        <f>+SUM('12:25'!J50)</f>
        <v>0</v>
      </c>
      <c r="K50" s="137">
        <f t="shared" si="0"/>
        <v>0</v>
      </c>
      <c r="L50" s="137">
        <f t="shared" si="1"/>
        <v>0</v>
      </c>
      <c r="M50" s="137">
        <v>434.33</v>
      </c>
      <c r="N50" s="137">
        <f>+M50*1000/(42.7*10*15*60)*T50</f>
        <v>2.2603695029924538</v>
      </c>
      <c r="O50" s="133">
        <f>+SUM('12:25'!O50)</f>
        <v>0</v>
      </c>
      <c r="P50" s="137">
        <f t="shared" si="2"/>
        <v>0</v>
      </c>
      <c r="Q50" s="133">
        <f>+SUM('12:25'!Q50)</f>
        <v>0</v>
      </c>
      <c r="R50" s="19">
        <f t="shared" si="3"/>
        <v>0</v>
      </c>
      <c r="S50" s="137">
        <f t="shared" si="4"/>
        <v>0</v>
      </c>
      <c r="T50" s="20">
        <v>2</v>
      </c>
      <c r="U50" s="133">
        <f>+SUM('12:25'!U50)</f>
        <v>0</v>
      </c>
      <c r="V50" s="143" t="str">
        <f t="array" ref="V50">IF(ISERROR(L50/K50),"",L50/K50)</f>
        <v/>
      </c>
      <c r="W50" s="133">
        <f>+SUM('12:25'!W50)</f>
        <v>0</v>
      </c>
      <c r="X50" s="133">
        <f>+SUM('12:25'!X50)</f>
        <v>0</v>
      </c>
      <c r="Y50" s="133">
        <f>+SUM('12:25'!Y50)</f>
        <v>0</v>
      </c>
      <c r="Z50" s="133">
        <f>+SUM('12:25'!Z50)</f>
        <v>0</v>
      </c>
      <c r="AA50" s="133">
        <f>+SUM('12:25'!AA50)</f>
        <v>0</v>
      </c>
      <c r="AB50" s="133">
        <f>+SUM('12:25'!AB50)</f>
        <v>0</v>
      </c>
      <c r="AC50" s="133">
        <f>+SUM('12:25'!AC50)</f>
        <v>0</v>
      </c>
      <c r="AD50" s="1">
        <f t="shared" si="6"/>
        <v>0</v>
      </c>
      <c r="AE50" s="1">
        <v>131.06</v>
      </c>
      <c r="AF50" s="1">
        <f t="shared" si="7"/>
        <v>0</v>
      </c>
    </row>
    <row r="51" spans="1:32" ht="21.95" customHeight="1">
      <c r="A51" s="140">
        <v>300261</v>
      </c>
      <c r="B51" s="135" t="s">
        <v>67</v>
      </c>
      <c r="C51" s="226" t="s">
        <v>73</v>
      </c>
      <c r="D51" s="226"/>
      <c r="E51" s="139" t="s">
        <v>41</v>
      </c>
      <c r="F51" s="13"/>
      <c r="G51" s="133">
        <f>+SUM('12:25'!G51)</f>
        <v>0</v>
      </c>
      <c r="H51" s="133">
        <f>+SUM('12:25'!H51)</f>
        <v>0</v>
      </c>
      <c r="I51" s="133">
        <f>+SUM('12:25'!I51)</f>
        <v>0</v>
      </c>
      <c r="J51" s="133">
        <f>+SUM('12:25'!J51)</f>
        <v>0</v>
      </c>
      <c r="K51" s="137">
        <f t="shared" si="0"/>
        <v>0</v>
      </c>
      <c r="L51" s="137">
        <f t="shared" si="1"/>
        <v>0</v>
      </c>
      <c r="M51" s="137">
        <v>434.33</v>
      </c>
      <c r="N51" s="137">
        <f>+M51*1000/(42.7*10*15*60)*T51</f>
        <v>2.2603695029924538</v>
      </c>
      <c r="O51" s="133">
        <f>+SUM('12:25'!O51)</f>
        <v>0</v>
      </c>
      <c r="P51" s="137">
        <f t="shared" si="2"/>
        <v>0</v>
      </c>
      <c r="Q51" s="133">
        <f>+SUM('12:25'!Q51)</f>
        <v>0</v>
      </c>
      <c r="R51" s="19">
        <f t="shared" si="3"/>
        <v>0</v>
      </c>
      <c r="S51" s="137">
        <f t="shared" si="4"/>
        <v>0</v>
      </c>
      <c r="T51" s="20">
        <v>2</v>
      </c>
      <c r="U51" s="133">
        <f>+SUM('12:25'!U51)</f>
        <v>0</v>
      </c>
      <c r="V51" s="143" t="str">
        <f t="array" ref="V51">IF(ISERROR(L51/K51),"",L51/K51)</f>
        <v/>
      </c>
      <c r="W51" s="133">
        <f>+SUM('12:25'!W51)</f>
        <v>0</v>
      </c>
      <c r="X51" s="133">
        <f>+SUM('12:25'!X51)</f>
        <v>0</v>
      </c>
      <c r="Y51" s="133">
        <f>+SUM('12:25'!Y51)</f>
        <v>0</v>
      </c>
      <c r="Z51" s="133">
        <f>+SUM('12:25'!Z51)</f>
        <v>0</v>
      </c>
      <c r="AA51" s="133">
        <f>+SUM('12:25'!AA51)</f>
        <v>0</v>
      </c>
      <c r="AB51" s="133">
        <f>+SUM('12:25'!AB51)</f>
        <v>0</v>
      </c>
      <c r="AC51" s="133">
        <f>+SUM('12:25'!AC51)</f>
        <v>0</v>
      </c>
      <c r="AD51" s="1">
        <f t="shared" si="6"/>
        <v>0</v>
      </c>
      <c r="AE51" s="1">
        <v>131.06</v>
      </c>
      <c r="AF51" s="1">
        <f t="shared" si="7"/>
        <v>0</v>
      </c>
    </row>
    <row r="52" spans="1:32" ht="21.95" customHeight="1">
      <c r="A52" s="140">
        <v>300262</v>
      </c>
      <c r="B52" s="135" t="s">
        <v>67</v>
      </c>
      <c r="C52" s="226" t="s">
        <v>73</v>
      </c>
      <c r="D52" s="226"/>
      <c r="E52" s="139" t="s">
        <v>39</v>
      </c>
      <c r="F52" s="13"/>
      <c r="G52" s="133">
        <f>+SUM('12:25'!G52)</f>
        <v>0</v>
      </c>
      <c r="H52" s="133">
        <f>+SUM('12:25'!H52)</f>
        <v>0</v>
      </c>
      <c r="I52" s="133">
        <f>+SUM('12:25'!I52)</f>
        <v>0</v>
      </c>
      <c r="J52" s="133">
        <f>+SUM('12:25'!J52)</f>
        <v>0</v>
      </c>
      <c r="K52" s="137">
        <f t="shared" si="0"/>
        <v>0</v>
      </c>
      <c r="L52" s="137">
        <f t="shared" si="1"/>
        <v>0</v>
      </c>
      <c r="M52" s="137">
        <v>434.33</v>
      </c>
      <c r="N52" s="137">
        <f>+M52*1000/(42.7*10*15*60)*T52</f>
        <v>2.2603695029924538</v>
      </c>
      <c r="O52" s="133">
        <f>+SUM('12:25'!O52)</f>
        <v>0</v>
      </c>
      <c r="P52" s="137">
        <f t="shared" si="2"/>
        <v>0</v>
      </c>
      <c r="Q52" s="133">
        <f>+SUM('12:25'!Q52)</f>
        <v>0</v>
      </c>
      <c r="R52" s="19">
        <f t="shared" si="3"/>
        <v>0</v>
      </c>
      <c r="S52" s="137">
        <f t="shared" si="4"/>
        <v>0</v>
      </c>
      <c r="T52" s="20">
        <v>2</v>
      </c>
      <c r="U52" s="133">
        <f>+SUM('12:25'!U52)</f>
        <v>0</v>
      </c>
      <c r="V52" s="143" t="str">
        <f t="array" ref="V52">IF(ISERROR(L52/K52),"",L52/K52)</f>
        <v/>
      </c>
      <c r="W52" s="133">
        <f>+SUM('12:25'!W52)</f>
        <v>0</v>
      </c>
      <c r="X52" s="133">
        <f>+SUM('12:25'!X52)</f>
        <v>0</v>
      </c>
      <c r="Y52" s="133">
        <f>+SUM('12:25'!Y52)</f>
        <v>0</v>
      </c>
      <c r="Z52" s="133">
        <f>+SUM('12:25'!Z52)</f>
        <v>0</v>
      </c>
      <c r="AA52" s="133">
        <f>+SUM('12:25'!AA52)</f>
        <v>0</v>
      </c>
      <c r="AB52" s="133">
        <f>+SUM('12:25'!AB52)</f>
        <v>0</v>
      </c>
      <c r="AC52" s="133">
        <f>+SUM('12:25'!AC52)</f>
        <v>0</v>
      </c>
      <c r="AD52" s="1">
        <f t="shared" si="6"/>
        <v>0</v>
      </c>
      <c r="AE52" s="1">
        <v>131.06</v>
      </c>
      <c r="AF52" s="1">
        <f t="shared" si="7"/>
        <v>0</v>
      </c>
    </row>
    <row r="53" spans="1:32" ht="21.95" customHeight="1">
      <c r="A53" s="140">
        <v>300263</v>
      </c>
      <c r="B53" s="135" t="s">
        <v>67</v>
      </c>
      <c r="C53" s="226" t="s">
        <v>73</v>
      </c>
      <c r="D53" s="226"/>
      <c r="E53" s="139" t="s">
        <v>54</v>
      </c>
      <c r="F53" s="13"/>
      <c r="G53" s="133">
        <f>+SUM('12:25'!G53)</f>
        <v>0</v>
      </c>
      <c r="H53" s="133">
        <f>+SUM('12:25'!H53)</f>
        <v>0</v>
      </c>
      <c r="I53" s="133">
        <f>+SUM('12:25'!I53)</f>
        <v>0</v>
      </c>
      <c r="J53" s="133">
        <f>+SUM('12:25'!J53)</f>
        <v>0</v>
      </c>
      <c r="K53" s="137">
        <f t="shared" si="0"/>
        <v>0</v>
      </c>
      <c r="L53" s="137">
        <f t="shared" si="1"/>
        <v>0</v>
      </c>
      <c r="M53" s="137">
        <v>434.33</v>
      </c>
      <c r="N53" s="137">
        <f>+M53*1000/(42.7*10*15*60)*T53</f>
        <v>2.2603695029924538</v>
      </c>
      <c r="O53" s="133">
        <f>+SUM('12:25'!O53)</f>
        <v>0</v>
      </c>
      <c r="P53" s="137">
        <f t="shared" si="2"/>
        <v>0</v>
      </c>
      <c r="Q53" s="133">
        <f>+SUM('12:25'!Q53)</f>
        <v>0</v>
      </c>
      <c r="R53" s="19">
        <f t="shared" si="3"/>
        <v>0</v>
      </c>
      <c r="S53" s="137">
        <f t="shared" si="4"/>
        <v>0</v>
      </c>
      <c r="T53" s="20">
        <v>2</v>
      </c>
      <c r="U53" s="133">
        <f>+SUM('12:25'!U53)</f>
        <v>0</v>
      </c>
      <c r="V53" s="143" t="str">
        <f t="array" ref="V53">IF(ISERROR(L53/K53),"",L53/K53)</f>
        <v/>
      </c>
      <c r="W53" s="133">
        <f>+SUM('12:25'!W53)</f>
        <v>0</v>
      </c>
      <c r="X53" s="133">
        <f>+SUM('12:25'!X53)</f>
        <v>0</v>
      </c>
      <c r="Y53" s="133">
        <f>+SUM('12:25'!Y53)</f>
        <v>0</v>
      </c>
      <c r="Z53" s="133">
        <f>+SUM('12:25'!Z53)</f>
        <v>0</v>
      </c>
      <c r="AA53" s="133">
        <f>+SUM('12:25'!AA53)</f>
        <v>0</v>
      </c>
      <c r="AB53" s="133">
        <f>+SUM('12:25'!AB53)</f>
        <v>0</v>
      </c>
      <c r="AC53" s="133">
        <f>+SUM('12:25'!AC53)</f>
        <v>0</v>
      </c>
      <c r="AD53" s="1">
        <f t="shared" si="6"/>
        <v>0</v>
      </c>
      <c r="AE53" s="1">
        <v>131.06</v>
      </c>
      <c r="AF53" s="1">
        <f t="shared" si="7"/>
        <v>0</v>
      </c>
    </row>
    <row r="54" spans="1:32" ht="21.95" customHeight="1">
      <c r="A54" s="140">
        <v>300051</v>
      </c>
      <c r="B54" s="135" t="s">
        <v>67</v>
      </c>
      <c r="C54" s="226" t="s">
        <v>75</v>
      </c>
      <c r="D54" s="226" t="s">
        <v>76</v>
      </c>
      <c r="E54" s="139" t="s">
        <v>40</v>
      </c>
      <c r="F54" s="13"/>
      <c r="G54" s="133">
        <f>+SUM('12:25'!G54)</f>
        <v>5</v>
      </c>
      <c r="H54" s="133">
        <f>+SUM('12:25'!H54)</f>
        <v>0</v>
      </c>
      <c r="I54" s="133">
        <f>+SUM('12:25'!I54)</f>
        <v>5</v>
      </c>
      <c r="J54" s="133">
        <f>+SUM('12:25'!J54)</f>
        <v>0</v>
      </c>
      <c r="K54" s="137">
        <f t="shared" si="0"/>
        <v>2729.5</v>
      </c>
      <c r="L54" s="137">
        <f t="shared" si="1"/>
        <v>2729.5</v>
      </c>
      <c r="M54" s="137">
        <v>545.9</v>
      </c>
      <c r="N54" s="137">
        <f>+M54*1000/(41.5*10*16*60)*T54</f>
        <v>2.7404618473895583</v>
      </c>
      <c r="O54" s="133">
        <f>+SUM('12:25'!O54)</f>
        <v>0.5</v>
      </c>
      <c r="P54" s="137">
        <f t="shared" si="2"/>
        <v>14.702309236947791</v>
      </c>
      <c r="Q54" s="133">
        <f>+SUM('12:25'!Q54)</f>
        <v>7</v>
      </c>
      <c r="R54" s="19">
        <f t="shared" si="3"/>
        <v>14</v>
      </c>
      <c r="S54" s="137">
        <f t="shared" si="4"/>
        <v>-0.70230923694779079</v>
      </c>
      <c r="T54" s="22">
        <v>2</v>
      </c>
      <c r="U54" s="133">
        <f>+SUM('12:25'!U54)</f>
        <v>2</v>
      </c>
      <c r="V54" s="143">
        <f t="array" ref="V54">IF(ISERROR(L54/K54),"",L54/K54)</f>
        <v>1</v>
      </c>
      <c r="W54" s="133">
        <f>+SUM('12:25'!W54)</f>
        <v>0</v>
      </c>
      <c r="X54" s="133">
        <f>+SUM('12:25'!X54)</f>
        <v>0</v>
      </c>
      <c r="Y54" s="133">
        <f>+SUM('12:25'!Y54)</f>
        <v>0</v>
      </c>
      <c r="Z54" s="133">
        <f>+SUM('12:25'!Z54)</f>
        <v>0</v>
      </c>
      <c r="AA54" s="133">
        <f>+SUM('12:25'!AA54)</f>
        <v>1</v>
      </c>
      <c r="AB54" s="133">
        <f>+SUM('12:25'!AB54)</f>
        <v>0</v>
      </c>
      <c r="AC54" s="133">
        <f>+SUM('12:25'!AC54)</f>
        <v>0</v>
      </c>
      <c r="AD54" s="1">
        <f t="shared" si="6"/>
        <v>2.7294999999999998</v>
      </c>
      <c r="AE54" s="1">
        <v>134.85</v>
      </c>
      <c r="AF54" s="1">
        <f t="shared" si="7"/>
        <v>368.07307499999996</v>
      </c>
    </row>
    <row r="55" spans="1:32" ht="21.95" customHeight="1">
      <c r="A55" s="140">
        <v>300052</v>
      </c>
      <c r="B55" s="135" t="s">
        <v>67</v>
      </c>
      <c r="C55" s="226" t="s">
        <v>75</v>
      </c>
      <c r="D55" s="226" t="s">
        <v>76</v>
      </c>
      <c r="E55" s="139" t="s">
        <v>39</v>
      </c>
      <c r="F55" s="13"/>
      <c r="G55" s="133">
        <f>+SUM('12:25'!G55)</f>
        <v>2</v>
      </c>
      <c r="H55" s="133">
        <f>+SUM('12:25'!H55)</f>
        <v>0</v>
      </c>
      <c r="I55" s="133">
        <f>+SUM('12:25'!I55)</f>
        <v>1.8</v>
      </c>
      <c r="J55" s="133">
        <f>+SUM('12:25'!J55)</f>
        <v>100</v>
      </c>
      <c r="K55" s="137">
        <f t="shared" si="0"/>
        <v>1091.8</v>
      </c>
      <c r="L55" s="137">
        <f t="shared" si="1"/>
        <v>982.62</v>
      </c>
      <c r="M55" s="137">
        <v>545.9</v>
      </c>
      <c r="N55" s="137">
        <f>+M55*1000/(41.5*10*16*60)*T55</f>
        <v>2.7404618473895583</v>
      </c>
      <c r="O55" s="133">
        <f>+SUM('12:25'!O55)</f>
        <v>0.5</v>
      </c>
      <c r="P55" s="137">
        <f t="shared" si="2"/>
        <v>5.9328313253012048</v>
      </c>
      <c r="Q55" s="133">
        <f>+SUM('12:25'!Q55)</f>
        <v>2</v>
      </c>
      <c r="R55" s="19">
        <f t="shared" si="3"/>
        <v>4</v>
      </c>
      <c r="S55" s="137">
        <f t="shared" si="4"/>
        <v>-1.9328313253012048</v>
      </c>
      <c r="T55" s="20">
        <v>2</v>
      </c>
      <c r="U55" s="133">
        <f>+SUM('12:25'!U55)</f>
        <v>2</v>
      </c>
      <c r="V55" s="143">
        <f t="array" ref="V55">IF(ISERROR(L55/K55),"",L55/K55)</f>
        <v>0.9</v>
      </c>
      <c r="W55" s="133">
        <f>+SUM('12:25'!W55)</f>
        <v>0</v>
      </c>
      <c r="X55" s="133">
        <f>+SUM('12:25'!X55)</f>
        <v>0</v>
      </c>
      <c r="Y55" s="133">
        <f>+SUM('12:25'!Y55)</f>
        <v>0</v>
      </c>
      <c r="Z55" s="133">
        <f>+SUM('12:25'!Z55)</f>
        <v>0</v>
      </c>
      <c r="AA55" s="133">
        <f>+SUM('12:25'!AA55)</f>
        <v>0</v>
      </c>
      <c r="AB55" s="133">
        <f>+SUM('12:25'!AB55)</f>
        <v>0</v>
      </c>
      <c r="AC55" s="133">
        <f>+SUM('12:25'!AC55)</f>
        <v>0</v>
      </c>
      <c r="AD55" s="1">
        <f t="shared" si="6"/>
        <v>0.98262000000000005</v>
      </c>
      <c r="AE55" s="1">
        <v>134.85</v>
      </c>
      <c r="AF55" s="1">
        <f t="shared" si="7"/>
        <v>132.50630699999999</v>
      </c>
    </row>
    <row r="56" spans="1:32" ht="21.95" customHeight="1">
      <c r="A56" s="140">
        <v>300054</v>
      </c>
      <c r="B56" s="135" t="s">
        <v>67</v>
      </c>
      <c r="C56" s="226" t="s">
        <v>75</v>
      </c>
      <c r="D56" s="226" t="s">
        <v>76</v>
      </c>
      <c r="E56" s="139" t="s">
        <v>38</v>
      </c>
      <c r="F56" s="13"/>
      <c r="G56" s="133">
        <f>+SUM('12:25'!G56)</f>
        <v>0</v>
      </c>
      <c r="H56" s="133">
        <f>+SUM('12:25'!H56)</f>
        <v>0</v>
      </c>
      <c r="I56" s="133">
        <f>+SUM('12:25'!I56)</f>
        <v>0</v>
      </c>
      <c r="J56" s="133">
        <f>+SUM('12:25'!J56)</f>
        <v>0</v>
      </c>
      <c r="K56" s="137">
        <f t="shared" si="0"/>
        <v>0</v>
      </c>
      <c r="L56" s="137">
        <f t="shared" si="1"/>
        <v>0</v>
      </c>
      <c r="M56" s="137">
        <v>545.9</v>
      </c>
      <c r="N56" s="137">
        <f>+M56*1000/(41.5*10*16*60)*T56</f>
        <v>2.7404618473895583</v>
      </c>
      <c r="O56" s="133">
        <f>+SUM('12:25'!O56)</f>
        <v>0</v>
      </c>
      <c r="P56" s="137">
        <f t="shared" si="2"/>
        <v>0</v>
      </c>
      <c r="Q56" s="133">
        <f>+SUM('12:25'!Q56)</f>
        <v>0</v>
      </c>
      <c r="R56" s="19">
        <f t="shared" si="3"/>
        <v>0</v>
      </c>
      <c r="S56" s="137">
        <f t="shared" si="4"/>
        <v>0</v>
      </c>
      <c r="T56" s="20">
        <v>2</v>
      </c>
      <c r="U56" s="133">
        <f>+SUM('12:25'!U56)</f>
        <v>0</v>
      </c>
      <c r="V56" s="143" t="str">
        <f t="array" ref="V56">IF(ISERROR(L56/K56),"",L56/K56)</f>
        <v/>
      </c>
      <c r="W56" s="133">
        <f>+SUM('12:25'!W56)</f>
        <v>0</v>
      </c>
      <c r="X56" s="133">
        <f>+SUM('12:25'!X56)</f>
        <v>0</v>
      </c>
      <c r="Y56" s="133">
        <f>+SUM('12:25'!Y56)</f>
        <v>0</v>
      </c>
      <c r="Z56" s="133">
        <f>+SUM('12:25'!Z56)</f>
        <v>0</v>
      </c>
      <c r="AA56" s="133">
        <f>+SUM('12:25'!AA56)</f>
        <v>0</v>
      </c>
      <c r="AB56" s="133">
        <f>+SUM('12:25'!AB56)</f>
        <v>0</v>
      </c>
      <c r="AC56" s="133">
        <f>+SUM('12:25'!AC56)</f>
        <v>0</v>
      </c>
      <c r="AD56" s="1">
        <f t="shared" si="6"/>
        <v>0</v>
      </c>
      <c r="AE56" s="1">
        <v>134.85</v>
      </c>
      <c r="AF56" s="1">
        <f t="shared" si="7"/>
        <v>0</v>
      </c>
    </row>
    <row r="57" spans="1:32" s="132" customFormat="1" ht="21.95" customHeight="1">
      <c r="A57" s="126">
        <v>300436</v>
      </c>
      <c r="B57" s="147" t="s">
        <v>67</v>
      </c>
      <c r="C57" s="239" t="s">
        <v>75</v>
      </c>
      <c r="D57" s="239" t="s">
        <v>76</v>
      </c>
      <c r="E57" s="42" t="s">
        <v>309</v>
      </c>
      <c r="F57" s="127"/>
      <c r="G57" s="133">
        <f>+SUM('12:25'!G57)</f>
        <v>0</v>
      </c>
      <c r="H57" s="133">
        <f>+SUM('12:25'!H57)</f>
        <v>0</v>
      </c>
      <c r="I57" s="133">
        <f>+SUM('12:25'!I57)</f>
        <v>0</v>
      </c>
      <c r="J57" s="133">
        <f>+SUM('12:25'!J57)</f>
        <v>0</v>
      </c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33">
        <f>+SUM('12:25'!O57)</f>
        <v>0</v>
      </c>
      <c r="P57" s="15">
        <f t="shared" si="2"/>
        <v>0</v>
      </c>
      <c r="Q57" s="133">
        <f>+SUM('12:25'!Q57)</f>
        <v>0</v>
      </c>
      <c r="R57" s="129">
        <f t="shared" si="3"/>
        <v>0</v>
      </c>
      <c r="S57" s="15">
        <f t="shared" si="4"/>
        <v>0</v>
      </c>
      <c r="T57" s="130">
        <v>2</v>
      </c>
      <c r="U57" s="133">
        <f>+SUM('12:25'!U57)</f>
        <v>0</v>
      </c>
      <c r="V57" s="131"/>
      <c r="W57" s="133">
        <f>+SUM('12:25'!W57)</f>
        <v>0</v>
      </c>
      <c r="X57" s="133">
        <f>+SUM('12:25'!X57)</f>
        <v>0</v>
      </c>
      <c r="Y57" s="133">
        <f>+SUM('12:25'!Y57)</f>
        <v>0</v>
      </c>
      <c r="Z57" s="133">
        <f>+SUM('12:25'!Z57)</f>
        <v>0</v>
      </c>
      <c r="AA57" s="133">
        <f>+SUM('12:25'!AA57)</f>
        <v>0</v>
      </c>
      <c r="AB57" s="133">
        <f>+SUM('12:25'!AB57)</f>
        <v>0</v>
      </c>
      <c r="AC57" s="133">
        <f>+SUM('12:25'!AC57)</f>
        <v>0</v>
      </c>
      <c r="AD57" s="1">
        <f t="shared" si="6"/>
        <v>0</v>
      </c>
      <c r="AE57" s="185">
        <v>134.85</v>
      </c>
      <c r="AF57" s="1">
        <f t="shared" si="7"/>
        <v>0</v>
      </c>
    </row>
    <row r="58" spans="1:32" ht="21.95" customHeight="1">
      <c r="A58" s="140">
        <v>300050</v>
      </c>
      <c r="B58" s="135" t="s">
        <v>67</v>
      </c>
      <c r="C58" s="226" t="s">
        <v>77</v>
      </c>
      <c r="D58" s="226" t="s">
        <v>78</v>
      </c>
      <c r="E58" s="139" t="s">
        <v>79</v>
      </c>
      <c r="F58" s="13"/>
      <c r="G58" s="133">
        <f>+SUM('12:25'!G58)</f>
        <v>1.1428571428571428</v>
      </c>
      <c r="H58" s="133">
        <f>+SUM('12:25'!H58)</f>
        <v>0.14285714285714285</v>
      </c>
      <c r="I58" s="133">
        <f>+SUM('12:25'!I58)</f>
        <v>1.1428571428571428</v>
      </c>
      <c r="J58" s="133">
        <f>+SUM('12:25'!J58)</f>
        <v>0</v>
      </c>
      <c r="K58" s="137">
        <f t="shared" si="0"/>
        <v>488.57142857142856</v>
      </c>
      <c r="L58" s="137">
        <f t="shared" si="1"/>
        <v>488.57142857142856</v>
      </c>
      <c r="M58" s="137">
        <v>427.5</v>
      </c>
      <c r="N58" s="137">
        <f>+M58*1000/(45*10*14*60)*T58</f>
        <v>5.6547619047619051</v>
      </c>
      <c r="O58" s="133">
        <f>+SUM('12:25'!O58)</f>
        <v>0</v>
      </c>
      <c r="P58" s="137">
        <f t="shared" si="2"/>
        <v>6.4625850340136051</v>
      </c>
      <c r="Q58" s="133">
        <f>+SUM('12:25'!Q58)</f>
        <v>2</v>
      </c>
      <c r="R58" s="19">
        <f t="shared" si="3"/>
        <v>10</v>
      </c>
      <c r="S58" s="137">
        <f t="shared" si="4"/>
        <v>3.5374149659863949</v>
      </c>
      <c r="T58" s="20">
        <v>5</v>
      </c>
      <c r="U58" s="133">
        <f>+SUM('12:25'!U58)</f>
        <v>5</v>
      </c>
      <c r="V58" s="143">
        <f t="array" ref="V58">IF(ISERROR(L58/K58),"",L58/K58)</f>
        <v>1</v>
      </c>
      <c r="W58" s="133">
        <f>+SUM('12:25'!W58)</f>
        <v>0</v>
      </c>
      <c r="X58" s="133">
        <f>+SUM('12:25'!X58)</f>
        <v>0</v>
      </c>
      <c r="Y58" s="133">
        <f>+SUM('12:25'!Y58)</f>
        <v>0</v>
      </c>
      <c r="Z58" s="133">
        <f>+SUM('12:25'!Z58)</f>
        <v>0</v>
      </c>
      <c r="AA58" s="133">
        <f>+SUM('12:25'!AA58)</f>
        <v>3.5</v>
      </c>
      <c r="AB58" s="133">
        <f>+SUM('12:25'!AB58)</f>
        <v>0</v>
      </c>
      <c r="AC58" s="133">
        <f>+SUM('12:25'!AC58)</f>
        <v>0</v>
      </c>
      <c r="AD58" s="1">
        <f t="shared" si="6"/>
        <v>0.48857142857142855</v>
      </c>
      <c r="AE58" s="1">
        <v>300.33</v>
      </c>
      <c r="AF58" s="1">
        <f t="shared" si="7"/>
        <v>146.73265714285714</v>
      </c>
    </row>
    <row r="59" spans="1:32" ht="21.95" customHeight="1">
      <c r="A59" s="140">
        <v>300045</v>
      </c>
      <c r="B59" s="135" t="s">
        <v>67</v>
      </c>
      <c r="C59" s="226" t="s">
        <v>77</v>
      </c>
      <c r="D59" s="226" t="s">
        <v>78</v>
      </c>
      <c r="E59" s="139" t="s">
        <v>35</v>
      </c>
      <c r="F59" s="13"/>
      <c r="G59" s="133">
        <f>+SUM('12:25'!G59)</f>
        <v>6</v>
      </c>
      <c r="H59" s="133">
        <f>+SUM('12:25'!H59)</f>
        <v>0</v>
      </c>
      <c r="I59" s="133">
        <f>+SUM('12:25'!I59)</f>
        <v>6</v>
      </c>
      <c r="J59" s="133">
        <f>+SUM('12:25'!J59)</f>
        <v>0</v>
      </c>
      <c r="K59" s="137">
        <f t="shared" si="0"/>
        <v>2439.6000000000004</v>
      </c>
      <c r="L59" s="137">
        <f t="shared" si="1"/>
        <v>2439.6000000000004</v>
      </c>
      <c r="M59" s="15">
        <v>406.6</v>
      </c>
      <c r="N59" s="137">
        <f>+M59*1000/(45*10*13*60)*T59</f>
        <v>5.7920227920227916</v>
      </c>
      <c r="O59" s="133">
        <f>+SUM('12:25'!O59)</f>
        <v>0.5</v>
      </c>
      <c r="P59" s="137">
        <f t="shared" si="2"/>
        <v>37.252136752136749</v>
      </c>
      <c r="Q59" s="133">
        <f>+SUM('12:25'!Q59)</f>
        <v>5</v>
      </c>
      <c r="R59" s="19">
        <f t="shared" si="3"/>
        <v>25</v>
      </c>
      <c r="S59" s="137">
        <f t="shared" si="4"/>
        <v>-12.252136752136749</v>
      </c>
      <c r="T59" s="20">
        <v>5</v>
      </c>
      <c r="U59" s="133">
        <f>+SUM('12:25'!U59)</f>
        <v>5</v>
      </c>
      <c r="V59" s="143">
        <f t="array" ref="V59">IF(ISERROR(L59/K59),"",L59/K59)</f>
        <v>1</v>
      </c>
      <c r="W59" s="133">
        <f>+SUM('12:25'!W59)</f>
        <v>0</v>
      </c>
      <c r="X59" s="133">
        <f>+SUM('12:25'!X59)</f>
        <v>0</v>
      </c>
      <c r="Y59" s="133">
        <f>+SUM('12:25'!Y59)</f>
        <v>0</v>
      </c>
      <c r="Z59" s="133">
        <f>+SUM('12:25'!Z59)</f>
        <v>0</v>
      </c>
      <c r="AA59" s="133">
        <f>+SUM('12:25'!AA59)</f>
        <v>0</v>
      </c>
      <c r="AB59" s="133">
        <f>+SUM('12:25'!AB59)</f>
        <v>0</v>
      </c>
      <c r="AC59" s="133">
        <f>+SUM('12:25'!AC59)</f>
        <v>0</v>
      </c>
      <c r="AD59" s="1">
        <f t="shared" si="6"/>
        <v>2.4396000000000004</v>
      </c>
      <c r="AE59" s="1">
        <v>300.33</v>
      </c>
      <c r="AF59" s="1">
        <f t="shared" si="7"/>
        <v>732.68506800000011</v>
      </c>
    </row>
    <row r="60" spans="1:32" ht="21.95" customHeight="1">
      <c r="A60" s="140">
        <v>300422</v>
      </c>
      <c r="B60" s="135" t="s">
        <v>67</v>
      </c>
      <c r="C60" s="237" t="s">
        <v>301</v>
      </c>
      <c r="D60" s="238"/>
      <c r="E60" s="139" t="s">
        <v>54</v>
      </c>
      <c r="F60" s="13"/>
      <c r="G60" s="133">
        <f>+SUM('12:25'!G60)</f>
        <v>0</v>
      </c>
      <c r="H60" s="133">
        <f>+SUM('12:25'!H60)</f>
        <v>0</v>
      </c>
      <c r="I60" s="133">
        <f>+SUM('12:25'!I60)</f>
        <v>0</v>
      </c>
      <c r="J60" s="133">
        <f>+SUM('12:25'!J60)</f>
        <v>0</v>
      </c>
      <c r="K60" s="137">
        <f t="shared" si="0"/>
        <v>0</v>
      </c>
      <c r="L60" s="137">
        <f t="shared" si="1"/>
        <v>0</v>
      </c>
      <c r="M60" s="15">
        <v>429.8</v>
      </c>
      <c r="N60" s="137">
        <f>+M60*1000/(45*10*13*60)*T60</f>
        <v>3.6735042735042738</v>
      </c>
      <c r="O60" s="133">
        <f>+SUM('12:25'!O60)</f>
        <v>0</v>
      </c>
      <c r="P60" s="137">
        <f t="shared" si="2"/>
        <v>0</v>
      </c>
      <c r="Q60" s="133">
        <f>+SUM('12:25'!Q60)</f>
        <v>0</v>
      </c>
      <c r="R60" s="19">
        <f t="shared" si="3"/>
        <v>0</v>
      </c>
      <c r="S60" s="137">
        <f t="shared" si="4"/>
        <v>0</v>
      </c>
      <c r="T60" s="20">
        <v>3</v>
      </c>
      <c r="U60" s="133">
        <f>+SUM('12:25'!U60)</f>
        <v>0</v>
      </c>
      <c r="V60" s="143"/>
      <c r="W60" s="133">
        <f>+SUM('12:25'!W60)</f>
        <v>0</v>
      </c>
      <c r="X60" s="133">
        <f>+SUM('12:25'!X60)</f>
        <v>0</v>
      </c>
      <c r="Y60" s="133">
        <f>+SUM('12:25'!Y60)</f>
        <v>0</v>
      </c>
      <c r="Z60" s="133">
        <f>+SUM('12:25'!Z60)</f>
        <v>0</v>
      </c>
      <c r="AA60" s="133">
        <f>+SUM('12:25'!AA60)</f>
        <v>0</v>
      </c>
      <c r="AB60" s="133">
        <f>+SUM('12:25'!AB60)</f>
        <v>0</v>
      </c>
      <c r="AC60" s="133">
        <f>+SUM('12:25'!AC60)</f>
        <v>0</v>
      </c>
      <c r="AD60" s="1">
        <f t="shared" si="6"/>
        <v>0</v>
      </c>
      <c r="AE60" s="1"/>
      <c r="AF60" s="1">
        <f t="shared" si="7"/>
        <v>0</v>
      </c>
    </row>
    <row r="61" spans="1:32" ht="21.95" customHeight="1">
      <c r="A61" s="140">
        <v>300421</v>
      </c>
      <c r="B61" s="135" t="s">
        <v>67</v>
      </c>
      <c r="C61" s="237" t="s">
        <v>301</v>
      </c>
      <c r="D61" s="238"/>
      <c r="E61" s="139" t="s">
        <v>80</v>
      </c>
      <c r="F61" s="13"/>
      <c r="G61" s="133">
        <f>+SUM('12:25'!G61)</f>
        <v>1</v>
      </c>
      <c r="H61" s="133">
        <f>+SUM('12:25'!H61)</f>
        <v>0</v>
      </c>
      <c r="I61" s="133">
        <f>+SUM('12:25'!I61)</f>
        <v>0.71428571428571419</v>
      </c>
      <c r="J61" s="133">
        <f>+SUM('12:25'!J61)</f>
        <v>450</v>
      </c>
      <c r="K61" s="137">
        <f t="shared" si="0"/>
        <v>429.8</v>
      </c>
      <c r="L61" s="137">
        <f t="shared" si="1"/>
        <v>306.99999999999994</v>
      </c>
      <c r="M61" s="15">
        <v>429.8</v>
      </c>
      <c r="N61" s="137">
        <f>+M61*1000/(45*10*13*60)*T61</f>
        <v>3.6735042735042738</v>
      </c>
      <c r="O61" s="133">
        <f>+SUM('12:25'!O61)</f>
        <v>0.5</v>
      </c>
      <c r="P61" s="137">
        <f t="shared" si="2"/>
        <v>3.6239316239316239</v>
      </c>
      <c r="Q61" s="133">
        <f>+SUM('12:25'!Q61)</f>
        <v>1</v>
      </c>
      <c r="R61" s="19">
        <f t="shared" si="3"/>
        <v>2</v>
      </c>
      <c r="S61" s="137">
        <f t="shared" si="4"/>
        <v>-1.6239316239316239</v>
      </c>
      <c r="T61" s="20">
        <v>3</v>
      </c>
      <c r="U61" s="133">
        <f>+SUM('12:25'!U61)</f>
        <v>2</v>
      </c>
      <c r="V61" s="143"/>
      <c r="W61" s="133">
        <f>+SUM('12:25'!W61)</f>
        <v>0</v>
      </c>
      <c r="X61" s="133">
        <f>+SUM('12:25'!X61)</f>
        <v>0</v>
      </c>
      <c r="Y61" s="133">
        <f>+SUM('12:25'!Y61)</f>
        <v>0</v>
      </c>
      <c r="Z61" s="133">
        <f>+SUM('12:25'!Z61)</f>
        <v>0</v>
      </c>
      <c r="AA61" s="133">
        <f>+SUM('12:25'!AA61)</f>
        <v>0</v>
      </c>
      <c r="AB61" s="133">
        <f>+SUM('12:25'!AB61)</f>
        <v>0</v>
      </c>
      <c r="AC61" s="133">
        <f>+SUM('12:25'!AC61)</f>
        <v>0</v>
      </c>
      <c r="AD61" s="1">
        <f t="shared" si="6"/>
        <v>0.30699999999999994</v>
      </c>
      <c r="AE61" s="1">
        <v>160.38</v>
      </c>
      <c r="AF61" s="1">
        <f t="shared" si="7"/>
        <v>49.236659999999986</v>
      </c>
    </row>
    <row r="62" spans="1:32" ht="21.95" customHeight="1">
      <c r="A62" s="140">
        <v>300149</v>
      </c>
      <c r="B62" s="135" t="s">
        <v>67</v>
      </c>
      <c r="C62" s="226" t="s">
        <v>81</v>
      </c>
      <c r="D62" s="226" t="s">
        <v>82</v>
      </c>
      <c r="E62" s="139" t="s">
        <v>80</v>
      </c>
      <c r="F62" s="13"/>
      <c r="G62" s="133">
        <f>+SUM('12:25'!G62)</f>
        <v>0</v>
      </c>
      <c r="H62" s="133">
        <f>+SUM('12:25'!H62)</f>
        <v>0</v>
      </c>
      <c r="I62" s="133">
        <f>+SUM('12:25'!I62)</f>
        <v>0</v>
      </c>
      <c r="J62" s="133">
        <f>+SUM('12:25'!J62)</f>
        <v>0</v>
      </c>
      <c r="K62" s="137">
        <f t="shared" si="0"/>
        <v>0</v>
      </c>
      <c r="L62" s="137">
        <f t="shared" si="1"/>
        <v>0</v>
      </c>
      <c r="M62" s="137">
        <v>589.1</v>
      </c>
      <c r="N62" s="137">
        <f>+M62*1000/(67.1*10*13*60)*T62</f>
        <v>3.3767052619511633</v>
      </c>
      <c r="O62" s="133">
        <f>+SUM('12:25'!O62)</f>
        <v>0</v>
      </c>
      <c r="P62" s="137">
        <f t="shared" si="2"/>
        <v>0</v>
      </c>
      <c r="Q62" s="133">
        <f>+SUM('12:25'!Q62)</f>
        <v>0</v>
      </c>
      <c r="R62" s="19">
        <f t="shared" si="3"/>
        <v>0</v>
      </c>
      <c r="S62" s="137">
        <f t="shared" si="4"/>
        <v>0</v>
      </c>
      <c r="T62" s="20">
        <v>3</v>
      </c>
      <c r="U62" s="133">
        <f>+SUM('12:25'!U62)</f>
        <v>0</v>
      </c>
      <c r="V62" s="143" t="str">
        <f t="array" ref="V62">IF(ISERROR(L62/K62),"",L62/K62)</f>
        <v/>
      </c>
      <c r="W62" s="133">
        <f>+SUM('12:25'!W62)</f>
        <v>0</v>
      </c>
      <c r="X62" s="133">
        <f>+SUM('12:25'!X62)</f>
        <v>0</v>
      </c>
      <c r="Y62" s="133">
        <f>+SUM('12:25'!Y62)</f>
        <v>0</v>
      </c>
      <c r="Z62" s="133">
        <f>+SUM('12:25'!Z62)</f>
        <v>0</v>
      </c>
      <c r="AA62" s="133">
        <f>+SUM('12:25'!AA62)</f>
        <v>0</v>
      </c>
      <c r="AB62" s="133">
        <f>+SUM('12:25'!AB62)</f>
        <v>0</v>
      </c>
      <c r="AC62" s="133">
        <f>+SUM('12:25'!AC62)</f>
        <v>0</v>
      </c>
      <c r="AD62" s="1">
        <f t="shared" si="6"/>
        <v>0</v>
      </c>
      <c r="AE62" s="1">
        <v>160.38</v>
      </c>
      <c r="AF62" s="1">
        <f t="shared" si="7"/>
        <v>0</v>
      </c>
    </row>
    <row r="63" spans="1:32" ht="21.95" customHeight="1">
      <c r="A63" s="140">
        <v>300150</v>
      </c>
      <c r="B63" s="135" t="s">
        <v>67</v>
      </c>
      <c r="C63" s="226" t="s">
        <v>81</v>
      </c>
      <c r="D63" s="226" t="s">
        <v>82</v>
      </c>
      <c r="E63" s="139" t="s">
        <v>54</v>
      </c>
      <c r="F63" s="13"/>
      <c r="G63" s="133">
        <f>+SUM('12:25'!G63)</f>
        <v>0.8</v>
      </c>
      <c r="H63" s="133">
        <f>+SUM('12:25'!H63)</f>
        <v>0.8</v>
      </c>
      <c r="I63" s="133">
        <f>+SUM('12:25'!I63)</f>
        <v>0.8</v>
      </c>
      <c r="J63" s="133">
        <f>+SUM('12:25'!J63)</f>
        <v>0</v>
      </c>
      <c r="K63" s="137">
        <f t="shared" si="0"/>
        <v>471.28000000000003</v>
      </c>
      <c r="L63" s="137">
        <f t="shared" si="1"/>
        <v>471.28000000000003</v>
      </c>
      <c r="M63" s="137">
        <v>589.1</v>
      </c>
      <c r="N63" s="137">
        <f>+M63*1000/(67.1*10*13*60)*T63</f>
        <v>3.3767052619511633</v>
      </c>
      <c r="O63" s="133">
        <f>+SUM('12:25'!O63)</f>
        <v>0</v>
      </c>
      <c r="P63" s="137">
        <f t="shared" si="2"/>
        <v>2.7013642095609307</v>
      </c>
      <c r="Q63" s="133">
        <f>+SUM('12:25'!Q63)</f>
        <v>1</v>
      </c>
      <c r="R63" s="19">
        <f t="shared" si="3"/>
        <v>2</v>
      </c>
      <c r="S63" s="137">
        <f t="shared" si="4"/>
        <v>-0.70136420956093071</v>
      </c>
      <c r="T63" s="20">
        <v>3</v>
      </c>
      <c r="U63" s="133">
        <f>+SUM('12:25'!U63)</f>
        <v>2</v>
      </c>
      <c r="V63" s="143">
        <f t="array" ref="V63">IF(ISERROR(L63/K63),"",L63/K63)</f>
        <v>1</v>
      </c>
      <c r="W63" s="133">
        <f>+SUM('12:25'!W63)</f>
        <v>0</v>
      </c>
      <c r="X63" s="133">
        <f>+SUM('12:25'!X63)</f>
        <v>0</v>
      </c>
      <c r="Y63" s="133">
        <f>+SUM('12:25'!Y63)</f>
        <v>0</v>
      </c>
      <c r="Z63" s="133">
        <f>+SUM('12:25'!Z63)</f>
        <v>0</v>
      </c>
      <c r="AA63" s="133">
        <f>+SUM('12:25'!AA63)</f>
        <v>0</v>
      </c>
      <c r="AB63" s="133">
        <f>+SUM('12:25'!AB63)</f>
        <v>0</v>
      </c>
      <c r="AC63" s="133">
        <f>+SUM('12:25'!AC63)</f>
        <v>0</v>
      </c>
      <c r="AD63" s="1">
        <f t="shared" si="6"/>
        <v>0.47128000000000003</v>
      </c>
      <c r="AE63" s="1">
        <v>160.38</v>
      </c>
      <c r="AF63" s="1">
        <f t="shared" si="7"/>
        <v>75.583886399999997</v>
      </c>
    </row>
    <row r="64" spans="1:32" ht="21.95" customHeight="1">
      <c r="A64" s="140">
        <v>300330</v>
      </c>
      <c r="B64" s="135" t="s">
        <v>67</v>
      </c>
      <c r="C64" s="237" t="s">
        <v>83</v>
      </c>
      <c r="D64" s="238"/>
      <c r="E64" s="139" t="s">
        <v>84</v>
      </c>
      <c r="F64" s="13"/>
      <c r="G64" s="133">
        <f>+SUM('12:25'!G64)</f>
        <v>0</v>
      </c>
      <c r="H64" s="133">
        <f>+SUM('12:25'!H64)</f>
        <v>0</v>
      </c>
      <c r="I64" s="133">
        <f>+SUM('12:25'!I64)</f>
        <v>0</v>
      </c>
      <c r="J64" s="133">
        <f>+SUM('12:25'!J64)</f>
        <v>0</v>
      </c>
      <c r="K64" s="137">
        <f t="shared" si="0"/>
        <v>0</v>
      </c>
      <c r="L64" s="137">
        <f t="shared" si="1"/>
        <v>0</v>
      </c>
      <c r="M64" s="137">
        <v>416.3</v>
      </c>
      <c r="N64" s="137">
        <f t="shared" ref="N64:N70" si="8">+M64*1000/(45*10*18*60)*T64</f>
        <v>1.7131687242798355</v>
      </c>
      <c r="O64" s="133">
        <f>+SUM('12:25'!O64)</f>
        <v>0</v>
      </c>
      <c r="P64" s="137">
        <f t="shared" si="2"/>
        <v>0</v>
      </c>
      <c r="Q64" s="133">
        <f>+SUM('12:25'!Q64)</f>
        <v>0</v>
      </c>
      <c r="R64" s="19">
        <f t="shared" si="3"/>
        <v>0</v>
      </c>
      <c r="S64" s="137">
        <f t="shared" si="4"/>
        <v>0</v>
      </c>
      <c r="T64" s="20">
        <v>2</v>
      </c>
      <c r="U64" s="133">
        <f>+SUM('12:25'!U64)</f>
        <v>0</v>
      </c>
      <c r="V64" s="143" t="str">
        <f t="array" ref="V64">IF(ISERROR(L64/K64),"",L64/K64)</f>
        <v/>
      </c>
      <c r="W64" s="133">
        <f>+SUM('12:25'!W64)</f>
        <v>0</v>
      </c>
      <c r="X64" s="133">
        <f>+SUM('12:25'!X64)</f>
        <v>0</v>
      </c>
      <c r="Y64" s="133">
        <f>+SUM('12:25'!Y64)</f>
        <v>0</v>
      </c>
      <c r="Z64" s="133">
        <f>+SUM('12:25'!Z64)</f>
        <v>0</v>
      </c>
      <c r="AA64" s="133">
        <f>+SUM('12:25'!AA64)</f>
        <v>0</v>
      </c>
      <c r="AB64" s="133">
        <f>+SUM('12:25'!AB64)</f>
        <v>0</v>
      </c>
      <c r="AC64" s="133">
        <f>+SUM('12:25'!AC64)</f>
        <v>0</v>
      </c>
      <c r="AD64" s="1">
        <f t="shared" si="6"/>
        <v>0</v>
      </c>
      <c r="AE64" s="1">
        <v>124.36</v>
      </c>
      <c r="AF64" s="1">
        <f t="shared" si="7"/>
        <v>0</v>
      </c>
    </row>
    <row r="65" spans="1:32" ht="21.95" customHeight="1">
      <c r="A65" s="140">
        <v>300331</v>
      </c>
      <c r="B65" s="135" t="s">
        <v>67</v>
      </c>
      <c r="C65" s="237" t="s">
        <v>83</v>
      </c>
      <c r="D65" s="238"/>
      <c r="E65" s="139" t="s">
        <v>49</v>
      </c>
      <c r="F65" s="13"/>
      <c r="G65" s="133">
        <f>+SUM('12:25'!G65)</f>
        <v>0</v>
      </c>
      <c r="H65" s="133">
        <f>+SUM('12:25'!H65)</f>
        <v>0</v>
      </c>
      <c r="I65" s="133">
        <f>+SUM('12:25'!I65)</f>
        <v>0</v>
      </c>
      <c r="J65" s="133">
        <f>+SUM('12:25'!J65)</f>
        <v>0</v>
      </c>
      <c r="K65" s="137">
        <f t="shared" si="0"/>
        <v>0</v>
      </c>
      <c r="L65" s="137">
        <f t="shared" si="1"/>
        <v>0</v>
      </c>
      <c r="M65" s="137">
        <v>416.3</v>
      </c>
      <c r="N65" s="137">
        <f t="shared" si="8"/>
        <v>1.7131687242798355</v>
      </c>
      <c r="O65" s="133">
        <f>+SUM('12:25'!O65)</f>
        <v>0</v>
      </c>
      <c r="P65" s="137">
        <f t="shared" si="2"/>
        <v>0</v>
      </c>
      <c r="Q65" s="133">
        <f>+SUM('12:25'!Q65)</f>
        <v>0</v>
      </c>
      <c r="R65" s="19">
        <f t="shared" si="3"/>
        <v>0</v>
      </c>
      <c r="S65" s="137">
        <f t="shared" si="4"/>
        <v>0</v>
      </c>
      <c r="T65" s="20">
        <v>2</v>
      </c>
      <c r="U65" s="133">
        <f>+SUM('12:25'!U65)</f>
        <v>0</v>
      </c>
      <c r="V65" s="143"/>
      <c r="W65" s="133">
        <f>+SUM('12:25'!W65)</f>
        <v>0</v>
      </c>
      <c r="X65" s="133">
        <f>+SUM('12:25'!X65)</f>
        <v>0</v>
      </c>
      <c r="Y65" s="133">
        <f>+SUM('12:25'!Y65)</f>
        <v>0</v>
      </c>
      <c r="Z65" s="133">
        <f>+SUM('12:25'!Z65)</f>
        <v>0</v>
      </c>
      <c r="AA65" s="133">
        <f>+SUM('12:25'!AA65)</f>
        <v>0</v>
      </c>
      <c r="AB65" s="133">
        <f>+SUM('12:25'!AB65)</f>
        <v>0</v>
      </c>
      <c r="AC65" s="133">
        <f>+SUM('12:25'!AC65)</f>
        <v>0</v>
      </c>
      <c r="AD65" s="1">
        <f t="shared" si="6"/>
        <v>0</v>
      </c>
      <c r="AE65" s="1">
        <v>124.36</v>
      </c>
      <c r="AF65" s="1">
        <f t="shared" si="7"/>
        <v>0</v>
      </c>
    </row>
    <row r="66" spans="1:32" ht="21.95" customHeight="1">
      <c r="A66" s="140">
        <v>300332</v>
      </c>
      <c r="B66" s="135" t="s">
        <v>67</v>
      </c>
      <c r="C66" s="237" t="s">
        <v>83</v>
      </c>
      <c r="D66" s="238"/>
      <c r="E66" s="139" t="s">
        <v>85</v>
      </c>
      <c r="F66" s="13"/>
      <c r="G66" s="133">
        <f>+SUM('12:25'!G66)</f>
        <v>0</v>
      </c>
      <c r="H66" s="133">
        <f>+SUM('12:25'!H66)</f>
        <v>0</v>
      </c>
      <c r="I66" s="133">
        <f>+SUM('12:25'!I66)</f>
        <v>0</v>
      </c>
      <c r="J66" s="133">
        <f>+SUM('12:25'!J66)</f>
        <v>0</v>
      </c>
      <c r="K66" s="137">
        <f t="shared" si="0"/>
        <v>0</v>
      </c>
      <c r="L66" s="137">
        <f t="shared" si="1"/>
        <v>0</v>
      </c>
      <c r="M66" s="137">
        <v>416.3</v>
      </c>
      <c r="N66" s="137">
        <f t="shared" si="8"/>
        <v>1.7131687242798355</v>
      </c>
      <c r="O66" s="133">
        <f>+SUM('12:25'!O66)</f>
        <v>0</v>
      </c>
      <c r="P66" s="137">
        <f t="shared" si="2"/>
        <v>0</v>
      </c>
      <c r="Q66" s="133">
        <f>+SUM('12:25'!Q66)</f>
        <v>0</v>
      </c>
      <c r="R66" s="19">
        <f t="shared" si="3"/>
        <v>0</v>
      </c>
      <c r="S66" s="137">
        <f t="shared" si="4"/>
        <v>0</v>
      </c>
      <c r="T66" s="20">
        <v>2</v>
      </c>
      <c r="U66" s="133">
        <f>+SUM('12:25'!U66)</f>
        <v>0</v>
      </c>
      <c r="V66" s="143"/>
      <c r="W66" s="133">
        <f>+SUM('12:25'!W66)</f>
        <v>0</v>
      </c>
      <c r="X66" s="133">
        <f>+SUM('12:25'!X66)</f>
        <v>0</v>
      </c>
      <c r="Y66" s="133">
        <f>+SUM('12:25'!Y66)</f>
        <v>0</v>
      </c>
      <c r="Z66" s="133">
        <f>+SUM('12:25'!Z66)</f>
        <v>0</v>
      </c>
      <c r="AA66" s="133">
        <f>+SUM('12:25'!AA66)</f>
        <v>0</v>
      </c>
      <c r="AB66" s="133">
        <f>+SUM('12:25'!AB66)</f>
        <v>0</v>
      </c>
      <c r="AC66" s="133">
        <f>+SUM('12:25'!AC66)</f>
        <v>0</v>
      </c>
      <c r="AD66" s="1">
        <f t="shared" si="6"/>
        <v>0</v>
      </c>
      <c r="AE66" s="1">
        <v>124.36</v>
      </c>
      <c r="AF66" s="1">
        <f t="shared" si="7"/>
        <v>0</v>
      </c>
    </row>
    <row r="67" spans="1:32" ht="21.95" customHeight="1">
      <c r="A67" s="140">
        <v>300333</v>
      </c>
      <c r="B67" s="135" t="s">
        <v>67</v>
      </c>
      <c r="C67" s="237" t="s">
        <v>86</v>
      </c>
      <c r="D67" s="238"/>
      <c r="E67" s="139" t="s">
        <v>84</v>
      </c>
      <c r="F67" s="13"/>
      <c r="G67" s="133">
        <f>+SUM('12:25'!G67)</f>
        <v>0</v>
      </c>
      <c r="H67" s="133">
        <f>+SUM('12:25'!H67)</f>
        <v>0</v>
      </c>
      <c r="I67" s="133">
        <f>+SUM('12:25'!I67)</f>
        <v>0</v>
      </c>
      <c r="J67" s="133">
        <f>+SUM('12:25'!J67)</f>
        <v>0</v>
      </c>
      <c r="K67" s="137">
        <f t="shared" si="0"/>
        <v>0</v>
      </c>
      <c r="L67" s="137">
        <f t="shared" si="1"/>
        <v>0</v>
      </c>
      <c r="M67" s="137">
        <v>416.3</v>
      </c>
      <c r="N67" s="137">
        <f t="shared" si="8"/>
        <v>1.7131687242798355</v>
      </c>
      <c r="O67" s="133">
        <f>+SUM('12:25'!O67)</f>
        <v>0</v>
      </c>
      <c r="P67" s="137">
        <f t="shared" si="2"/>
        <v>0</v>
      </c>
      <c r="Q67" s="133">
        <f>+SUM('12:25'!Q67)</f>
        <v>0</v>
      </c>
      <c r="R67" s="19">
        <f t="shared" si="3"/>
        <v>0</v>
      </c>
      <c r="S67" s="137">
        <f t="shared" si="4"/>
        <v>0</v>
      </c>
      <c r="T67" s="20">
        <v>2</v>
      </c>
      <c r="U67" s="133">
        <f>+SUM('12:25'!U67)</f>
        <v>0</v>
      </c>
      <c r="V67" s="143"/>
      <c r="W67" s="133">
        <f>+SUM('12:25'!W67)</f>
        <v>0</v>
      </c>
      <c r="X67" s="133">
        <f>+SUM('12:25'!X67)</f>
        <v>0</v>
      </c>
      <c r="Y67" s="133">
        <f>+SUM('12:25'!Y67)</f>
        <v>0</v>
      </c>
      <c r="Z67" s="133">
        <f>+SUM('12:25'!Z67)</f>
        <v>0</v>
      </c>
      <c r="AA67" s="133">
        <f>+SUM('12:25'!AA67)</f>
        <v>0</v>
      </c>
      <c r="AB67" s="133">
        <f>+SUM('12:25'!AB67)</f>
        <v>0</v>
      </c>
      <c r="AC67" s="133">
        <f>+SUM('12:25'!AC67)</f>
        <v>0</v>
      </c>
      <c r="AD67" s="1">
        <f t="shared" si="6"/>
        <v>0</v>
      </c>
      <c r="AE67" s="1"/>
      <c r="AF67" s="1">
        <f t="shared" si="7"/>
        <v>0</v>
      </c>
    </row>
    <row r="68" spans="1:32" ht="21.95" customHeight="1">
      <c r="A68" s="140">
        <v>300334</v>
      </c>
      <c r="B68" s="135" t="s">
        <v>67</v>
      </c>
      <c r="C68" s="237" t="s">
        <v>86</v>
      </c>
      <c r="D68" s="238"/>
      <c r="E68" s="139" t="s">
        <v>85</v>
      </c>
      <c r="F68" s="13"/>
      <c r="G68" s="133">
        <f>+SUM('12:25'!G68)</f>
        <v>0</v>
      </c>
      <c r="H68" s="133">
        <f>+SUM('12:25'!H68)</f>
        <v>0</v>
      </c>
      <c r="I68" s="133">
        <f>+SUM('12:25'!I68)</f>
        <v>0</v>
      </c>
      <c r="J68" s="133">
        <f>+SUM('12:25'!J68)</f>
        <v>0</v>
      </c>
      <c r="K68" s="137">
        <f t="shared" si="0"/>
        <v>0</v>
      </c>
      <c r="L68" s="137">
        <f t="shared" si="1"/>
        <v>0</v>
      </c>
      <c r="M68" s="137">
        <v>416.3</v>
      </c>
      <c r="N68" s="137">
        <f t="shared" si="8"/>
        <v>1.7131687242798355</v>
      </c>
      <c r="O68" s="133">
        <f>+SUM('12:25'!O68)</f>
        <v>0</v>
      </c>
      <c r="P68" s="137">
        <f t="shared" si="2"/>
        <v>0</v>
      </c>
      <c r="Q68" s="133">
        <f>+SUM('12:25'!Q68)</f>
        <v>0</v>
      </c>
      <c r="R68" s="19">
        <f t="shared" si="3"/>
        <v>0</v>
      </c>
      <c r="S68" s="137">
        <f t="shared" si="4"/>
        <v>0</v>
      </c>
      <c r="T68" s="20">
        <v>2</v>
      </c>
      <c r="U68" s="133">
        <f>+SUM('12:25'!U68)</f>
        <v>0</v>
      </c>
      <c r="V68" s="143"/>
      <c r="W68" s="133">
        <f>+SUM('12:25'!W68)</f>
        <v>0</v>
      </c>
      <c r="X68" s="133">
        <f>+SUM('12:25'!X68)</f>
        <v>0</v>
      </c>
      <c r="Y68" s="133">
        <f>+SUM('12:25'!Y68)</f>
        <v>0</v>
      </c>
      <c r="Z68" s="133">
        <f>+SUM('12:25'!Z68)</f>
        <v>0</v>
      </c>
      <c r="AA68" s="133">
        <f>+SUM('12:25'!AA68)</f>
        <v>0</v>
      </c>
      <c r="AB68" s="133">
        <f>+SUM('12:25'!AB68)</f>
        <v>0</v>
      </c>
      <c r="AC68" s="133">
        <f>+SUM('12:25'!AC68)</f>
        <v>0</v>
      </c>
      <c r="AD68" s="1">
        <f t="shared" si="6"/>
        <v>0</v>
      </c>
      <c r="AE68" s="1"/>
      <c r="AF68" s="1">
        <f t="shared" si="7"/>
        <v>0</v>
      </c>
    </row>
    <row r="69" spans="1:32" ht="21.95" customHeight="1">
      <c r="A69" s="140">
        <v>300335</v>
      </c>
      <c r="B69" s="135" t="s">
        <v>67</v>
      </c>
      <c r="C69" s="237" t="s">
        <v>86</v>
      </c>
      <c r="D69" s="238"/>
      <c r="E69" s="139" t="s">
        <v>49</v>
      </c>
      <c r="F69" s="13"/>
      <c r="G69" s="133">
        <f>+SUM('12:25'!G69)</f>
        <v>0</v>
      </c>
      <c r="H69" s="133">
        <f>+SUM('12:25'!H69)</f>
        <v>0</v>
      </c>
      <c r="I69" s="133">
        <f>+SUM('12:25'!I69)</f>
        <v>0</v>
      </c>
      <c r="J69" s="133">
        <f>+SUM('12:25'!J69)</f>
        <v>0</v>
      </c>
      <c r="K69" s="137">
        <f t="shared" si="0"/>
        <v>0</v>
      </c>
      <c r="L69" s="137">
        <f t="shared" si="1"/>
        <v>0</v>
      </c>
      <c r="M69" s="137">
        <v>416.3</v>
      </c>
      <c r="N69" s="137">
        <f t="shared" si="8"/>
        <v>1.7131687242798355</v>
      </c>
      <c r="O69" s="133">
        <f>+SUM('12:25'!O69)</f>
        <v>0</v>
      </c>
      <c r="P69" s="137">
        <f t="shared" si="2"/>
        <v>0</v>
      </c>
      <c r="Q69" s="133">
        <f>+SUM('12:25'!Q69)</f>
        <v>0</v>
      </c>
      <c r="R69" s="19">
        <f t="shared" si="3"/>
        <v>0</v>
      </c>
      <c r="S69" s="137">
        <f t="shared" si="4"/>
        <v>0</v>
      </c>
      <c r="T69" s="20">
        <v>2</v>
      </c>
      <c r="U69" s="133">
        <f>+SUM('12:25'!U69)</f>
        <v>0</v>
      </c>
      <c r="V69" s="143"/>
      <c r="W69" s="133">
        <f>+SUM('12:25'!W69)</f>
        <v>0</v>
      </c>
      <c r="X69" s="133">
        <f>+SUM('12:25'!X69)</f>
        <v>0</v>
      </c>
      <c r="Y69" s="133">
        <f>+SUM('12:25'!Y69)</f>
        <v>0</v>
      </c>
      <c r="Z69" s="133">
        <f>+SUM('12:25'!Z69)</f>
        <v>0</v>
      </c>
      <c r="AA69" s="133">
        <f>+SUM('12:25'!AA69)</f>
        <v>0</v>
      </c>
      <c r="AB69" s="133">
        <f>+SUM('12:25'!AB69)</f>
        <v>0</v>
      </c>
      <c r="AC69" s="133">
        <f>+SUM('12:25'!AC69)</f>
        <v>0</v>
      </c>
      <c r="AD69" s="1">
        <f t="shared" si="6"/>
        <v>0</v>
      </c>
      <c r="AE69" s="1"/>
      <c r="AF69" s="1">
        <f t="shared" si="7"/>
        <v>0</v>
      </c>
    </row>
    <row r="70" spans="1:32" ht="21.95" customHeight="1">
      <c r="A70" s="140">
        <v>300291</v>
      </c>
      <c r="B70" s="135" t="s">
        <v>87</v>
      </c>
      <c r="C70" s="226" t="s">
        <v>88</v>
      </c>
      <c r="D70" s="226" t="s">
        <v>89</v>
      </c>
      <c r="E70" s="139" t="s">
        <v>42</v>
      </c>
      <c r="F70" s="13"/>
      <c r="G70" s="133">
        <f>+SUM('12:25'!G70)</f>
        <v>0</v>
      </c>
      <c r="H70" s="133">
        <f>+SUM('12:25'!H70)</f>
        <v>0</v>
      </c>
      <c r="I70" s="133">
        <f>+SUM('12:25'!I70)</f>
        <v>0</v>
      </c>
      <c r="J70" s="133">
        <f>+SUM('12:25'!J70)</f>
        <v>0</v>
      </c>
      <c r="K70" s="137">
        <f t="shared" si="0"/>
        <v>0</v>
      </c>
      <c r="L70" s="137">
        <f t="shared" si="1"/>
        <v>0</v>
      </c>
      <c r="M70" s="137">
        <v>517.79999999999995</v>
      </c>
      <c r="N70" s="137">
        <f t="shared" si="8"/>
        <v>4.261728395061728</v>
      </c>
      <c r="O70" s="133">
        <f>+SUM('12:25'!O70)</f>
        <v>0</v>
      </c>
      <c r="P70" s="137">
        <f t="shared" si="2"/>
        <v>0</v>
      </c>
      <c r="Q70" s="133">
        <f>+SUM('12:25'!Q70)</f>
        <v>0</v>
      </c>
      <c r="R70" s="19">
        <f t="shared" si="3"/>
        <v>0</v>
      </c>
      <c r="S70" s="137">
        <f t="shared" si="4"/>
        <v>0</v>
      </c>
      <c r="T70" s="20">
        <v>4</v>
      </c>
      <c r="U70" s="133">
        <f>+SUM('12:25'!U70)</f>
        <v>0</v>
      </c>
      <c r="V70" s="143" t="str">
        <f t="array" ref="V70">IF(ISERROR(L70/K70),"",L70/K70)</f>
        <v/>
      </c>
      <c r="W70" s="133">
        <f>+SUM('12:25'!W70)</f>
        <v>0</v>
      </c>
      <c r="X70" s="133">
        <f>+SUM('12:25'!X70)</f>
        <v>0</v>
      </c>
      <c r="Y70" s="133">
        <f>+SUM('12:25'!Y70)</f>
        <v>0</v>
      </c>
      <c r="Z70" s="133">
        <f>+SUM('12:25'!Z70)</f>
        <v>0</v>
      </c>
      <c r="AA70" s="133">
        <f>+SUM('12:25'!AA70)</f>
        <v>0</v>
      </c>
      <c r="AB70" s="133">
        <f>+SUM('12:25'!AB70)</f>
        <v>0</v>
      </c>
      <c r="AC70" s="133">
        <f>+SUM('12:25'!AC70)</f>
        <v>0</v>
      </c>
      <c r="AD70" s="1">
        <f t="shared" si="6"/>
        <v>0</v>
      </c>
      <c r="AE70" s="1">
        <v>189.83</v>
      </c>
      <c r="AF70" s="1">
        <f t="shared" si="7"/>
        <v>0</v>
      </c>
    </row>
    <row r="71" spans="1:32" ht="21.95" customHeight="1">
      <c r="A71" s="140">
        <v>300292</v>
      </c>
      <c r="B71" s="135" t="s">
        <v>87</v>
      </c>
      <c r="C71" s="226" t="s">
        <v>88</v>
      </c>
      <c r="D71" s="226" t="s">
        <v>89</v>
      </c>
      <c r="E71" s="139" t="s">
        <v>41</v>
      </c>
      <c r="F71" s="13"/>
      <c r="G71" s="133">
        <f>+SUM('12:25'!G71)</f>
        <v>0</v>
      </c>
      <c r="H71" s="133">
        <f>+SUM('12:25'!H71)</f>
        <v>0</v>
      </c>
      <c r="I71" s="133">
        <f>+SUM('12:25'!I71)</f>
        <v>0</v>
      </c>
      <c r="J71" s="133">
        <f>+SUM('12:25'!J71)</f>
        <v>0</v>
      </c>
      <c r="K71" s="137">
        <f t="shared" si="0"/>
        <v>0</v>
      </c>
      <c r="L71" s="137">
        <f t="shared" si="1"/>
        <v>0</v>
      </c>
      <c r="M71" s="137">
        <v>517.79999999999995</v>
      </c>
      <c r="N71" s="137">
        <f>+M71*1000/(66.8*1*110*60)*T71</f>
        <v>4.6978769733260748</v>
      </c>
      <c r="O71" s="133">
        <f>+SUM('12:25'!O71)</f>
        <v>0</v>
      </c>
      <c r="P71" s="137">
        <f t="shared" si="2"/>
        <v>0</v>
      </c>
      <c r="Q71" s="133">
        <f>+SUM('12:25'!Q71)</f>
        <v>0</v>
      </c>
      <c r="R71" s="19">
        <f t="shared" si="3"/>
        <v>0</v>
      </c>
      <c r="S71" s="137">
        <f t="shared" si="4"/>
        <v>0</v>
      </c>
      <c r="T71" s="20">
        <v>4</v>
      </c>
      <c r="U71" s="133">
        <f>+SUM('12:25'!U71)</f>
        <v>0</v>
      </c>
      <c r="V71" s="143" t="str">
        <f t="array" ref="V71">IF(ISERROR(L71/K71),"",L71/K71)</f>
        <v/>
      </c>
      <c r="W71" s="133">
        <f>+SUM('12:25'!W71)</f>
        <v>0</v>
      </c>
      <c r="X71" s="133">
        <f>+SUM('12:25'!X71)</f>
        <v>0</v>
      </c>
      <c r="Y71" s="133">
        <f>+SUM('12:25'!Y71)</f>
        <v>0</v>
      </c>
      <c r="Z71" s="133">
        <f>+SUM('12:25'!Z71)</f>
        <v>0</v>
      </c>
      <c r="AA71" s="133">
        <f>+SUM('12:25'!AA71)</f>
        <v>0</v>
      </c>
      <c r="AB71" s="133">
        <f>+SUM('12:25'!AB71)</f>
        <v>0</v>
      </c>
      <c r="AC71" s="133">
        <f>+SUM('12:25'!AC71)</f>
        <v>0</v>
      </c>
      <c r="AD71" s="1">
        <f t="shared" ref="AD71:AD134" si="9">+L71/1000</f>
        <v>0</v>
      </c>
      <c r="AE71" s="1">
        <v>189.83</v>
      </c>
      <c r="AF71" s="1">
        <f t="shared" ref="AF71:AF134" si="10">+AD71*AE71</f>
        <v>0</v>
      </c>
    </row>
    <row r="72" spans="1:32" ht="21.95" customHeight="1">
      <c r="A72" s="140">
        <v>300293</v>
      </c>
      <c r="B72" s="135" t="s">
        <v>87</v>
      </c>
      <c r="C72" s="226" t="s">
        <v>88</v>
      </c>
      <c r="D72" s="226" t="s">
        <v>89</v>
      </c>
      <c r="E72" s="139" t="s">
        <v>57</v>
      </c>
      <c r="F72" s="13"/>
      <c r="G72" s="133">
        <f>+SUM('12:25'!G72)</f>
        <v>0</v>
      </c>
      <c r="H72" s="133">
        <f>+SUM('12:25'!H72)</f>
        <v>0</v>
      </c>
      <c r="I72" s="133">
        <f>+SUM('12:25'!I72)</f>
        <v>0</v>
      </c>
      <c r="J72" s="133">
        <f>+SUM('12:25'!J72)</f>
        <v>0</v>
      </c>
      <c r="K72" s="137">
        <f t="shared" si="0"/>
        <v>0</v>
      </c>
      <c r="L72" s="137">
        <f t="shared" si="1"/>
        <v>0</v>
      </c>
      <c r="M72" s="137">
        <v>517.9</v>
      </c>
      <c r="N72" s="137">
        <f>+M72*1000/(67.1*1*110*60)*T72</f>
        <v>4.6777762724111467</v>
      </c>
      <c r="O72" s="133">
        <f>+SUM('12:25'!O72)</f>
        <v>0</v>
      </c>
      <c r="P72" s="137">
        <f t="shared" si="2"/>
        <v>0</v>
      </c>
      <c r="Q72" s="133">
        <f>+SUM('12:25'!Q72)</f>
        <v>0</v>
      </c>
      <c r="R72" s="19">
        <f t="shared" si="3"/>
        <v>0</v>
      </c>
      <c r="S72" s="137">
        <f t="shared" si="4"/>
        <v>0</v>
      </c>
      <c r="T72" s="20">
        <v>4</v>
      </c>
      <c r="U72" s="133">
        <f>+SUM('12:25'!U72)</f>
        <v>0</v>
      </c>
      <c r="V72" s="143" t="str">
        <f t="array" ref="V72">IF(ISERROR(L72/K72),"",L72/K72)</f>
        <v/>
      </c>
      <c r="W72" s="133">
        <f>+SUM('12:25'!W72)</f>
        <v>0</v>
      </c>
      <c r="X72" s="133">
        <f>+SUM('12:25'!X72)</f>
        <v>0</v>
      </c>
      <c r="Y72" s="133">
        <f>+SUM('12:25'!Y72)</f>
        <v>0</v>
      </c>
      <c r="Z72" s="133">
        <f>+SUM('12:25'!Z72)</f>
        <v>0</v>
      </c>
      <c r="AA72" s="133">
        <f>+SUM('12:25'!AA72)</f>
        <v>0</v>
      </c>
      <c r="AB72" s="133">
        <f>+SUM('12:25'!AB72)</f>
        <v>0</v>
      </c>
      <c r="AC72" s="133">
        <f>+SUM('12:25'!AC72)</f>
        <v>0</v>
      </c>
      <c r="AD72" s="1">
        <f t="shared" si="9"/>
        <v>0</v>
      </c>
      <c r="AE72" s="1">
        <v>189.83</v>
      </c>
      <c r="AF72" s="1">
        <f t="shared" si="10"/>
        <v>0</v>
      </c>
    </row>
    <row r="73" spans="1:32" ht="21.95" customHeight="1">
      <c r="A73" s="140">
        <v>300290</v>
      </c>
      <c r="B73" s="135" t="s">
        <v>87</v>
      </c>
      <c r="C73" s="226" t="s">
        <v>88</v>
      </c>
      <c r="D73" s="226" t="s">
        <v>89</v>
      </c>
      <c r="E73" s="139" t="s">
        <v>35</v>
      </c>
      <c r="F73" s="13"/>
      <c r="G73" s="133">
        <f>+SUM('12:25'!G73)</f>
        <v>0</v>
      </c>
      <c r="H73" s="133">
        <f>+SUM('12:25'!H73)</f>
        <v>0</v>
      </c>
      <c r="I73" s="133">
        <f>+SUM('12:25'!I73)</f>
        <v>0</v>
      </c>
      <c r="J73" s="133">
        <f>+SUM('12:25'!J73)</f>
        <v>0</v>
      </c>
      <c r="K73" s="137">
        <f t="shared" si="0"/>
        <v>0</v>
      </c>
      <c r="L73" s="137">
        <f t="shared" si="1"/>
        <v>0</v>
      </c>
      <c r="M73" s="137">
        <v>520</v>
      </c>
      <c r="N73" s="137">
        <f>+M73*1000/(67.5*1*110*60)*T73</f>
        <v>4.6689113355780023</v>
      </c>
      <c r="O73" s="133">
        <f>+SUM('12:25'!O73)</f>
        <v>0</v>
      </c>
      <c r="P73" s="137">
        <f t="shared" si="2"/>
        <v>0</v>
      </c>
      <c r="Q73" s="133">
        <f>+SUM('12:25'!Q73)</f>
        <v>0</v>
      </c>
      <c r="R73" s="19">
        <f t="shared" si="3"/>
        <v>0</v>
      </c>
      <c r="S73" s="137">
        <f t="shared" si="4"/>
        <v>0</v>
      </c>
      <c r="T73" s="20">
        <v>4</v>
      </c>
      <c r="U73" s="133">
        <f>+SUM('12:25'!U73)</f>
        <v>0</v>
      </c>
      <c r="V73" s="143" t="str">
        <f t="array" ref="V73">IF(ISERROR(L73/K73),"",L73/K73)</f>
        <v/>
      </c>
      <c r="W73" s="133">
        <f>+SUM('12:25'!W73)</f>
        <v>0</v>
      </c>
      <c r="X73" s="133">
        <f>+SUM('12:25'!X73)</f>
        <v>0</v>
      </c>
      <c r="Y73" s="133">
        <f>+SUM('12:25'!Y73)</f>
        <v>0</v>
      </c>
      <c r="Z73" s="133">
        <f>+SUM('12:25'!Z73)</f>
        <v>0</v>
      </c>
      <c r="AA73" s="133">
        <f>+SUM('12:25'!AA73)</f>
        <v>0</v>
      </c>
      <c r="AB73" s="133">
        <f>+SUM('12:25'!AB73)</f>
        <v>0</v>
      </c>
      <c r="AC73" s="133">
        <f>+SUM('12:25'!AC73)</f>
        <v>0</v>
      </c>
      <c r="AD73" s="1">
        <f t="shared" si="9"/>
        <v>0</v>
      </c>
      <c r="AE73" s="1">
        <v>189.83</v>
      </c>
      <c r="AF73" s="1">
        <f t="shared" si="10"/>
        <v>0</v>
      </c>
    </row>
    <row r="74" spans="1:32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33">
        <f>+SUM('12:25'!G74)</f>
        <v>0</v>
      </c>
      <c r="H74" s="133">
        <f>+SUM('12:25'!H74)</f>
        <v>0</v>
      </c>
      <c r="I74" s="133">
        <f>+SUM('12:25'!I74)</f>
        <v>0</v>
      </c>
      <c r="J74" s="133">
        <f>+SUM('12:25'!J74)</f>
        <v>0</v>
      </c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133">
        <f>+SUM('12:25'!O74)</f>
        <v>0</v>
      </c>
      <c r="P74" s="28">
        <f t="shared" si="2"/>
        <v>0</v>
      </c>
      <c r="Q74" s="133">
        <f>+SUM('12:25'!Q74)</f>
        <v>0</v>
      </c>
      <c r="R74" s="29">
        <f t="shared" si="3"/>
        <v>0</v>
      </c>
      <c r="S74" s="28">
        <f t="shared" si="4"/>
        <v>0</v>
      </c>
      <c r="T74" s="30">
        <v>4</v>
      </c>
      <c r="U74" s="133">
        <f>+SUM('12:25'!U74)</f>
        <v>0</v>
      </c>
      <c r="V74" s="112" t="str">
        <f t="array" ref="V74">IF(ISERROR(L74/K74),"",L74/K74)</f>
        <v/>
      </c>
      <c r="W74" s="133">
        <f>+SUM('12:25'!W74)</f>
        <v>0</v>
      </c>
      <c r="X74" s="133">
        <f>+SUM('12:25'!X74)</f>
        <v>0</v>
      </c>
      <c r="Y74" s="133">
        <f>+SUM('12:25'!Y74)</f>
        <v>0</v>
      </c>
      <c r="Z74" s="133">
        <f>+SUM('12:25'!Z74)</f>
        <v>0</v>
      </c>
      <c r="AA74" s="133">
        <f>+SUM('12:25'!AA74)</f>
        <v>0</v>
      </c>
      <c r="AB74" s="133">
        <f>+SUM('12:25'!AB74)</f>
        <v>0</v>
      </c>
      <c r="AC74" s="133">
        <f>+SUM('12:25'!AC74)</f>
        <v>0</v>
      </c>
      <c r="AD74" s="1">
        <f t="shared" si="9"/>
        <v>0</v>
      </c>
      <c r="AE74" s="186"/>
      <c r="AF74" s="1">
        <f t="shared" si="10"/>
        <v>0</v>
      </c>
    </row>
    <row r="75" spans="1:32" ht="21.95" customHeight="1">
      <c r="A75" s="140">
        <v>300058</v>
      </c>
      <c r="B75" s="135" t="s">
        <v>87</v>
      </c>
      <c r="C75" s="226" t="s">
        <v>91</v>
      </c>
      <c r="D75" s="226" t="s">
        <v>89</v>
      </c>
      <c r="E75" s="139" t="s">
        <v>42</v>
      </c>
      <c r="F75" s="13"/>
      <c r="G75" s="133">
        <f>+SUM('12:25'!G75)</f>
        <v>0</v>
      </c>
      <c r="H75" s="133">
        <f>+SUM('12:25'!H75)</f>
        <v>0</v>
      </c>
      <c r="I75" s="133">
        <f>+SUM('12:25'!I75)</f>
        <v>0</v>
      </c>
      <c r="J75" s="133">
        <f>+SUM('12:25'!J75)</f>
        <v>0</v>
      </c>
      <c r="K75" s="137">
        <f t="shared" si="0"/>
        <v>0</v>
      </c>
      <c r="L75" s="137">
        <f t="shared" si="1"/>
        <v>0</v>
      </c>
      <c r="M75" s="137">
        <v>419.2</v>
      </c>
      <c r="N75" s="137">
        <f>+M75*1000/(51.5*1*110*60)*T75</f>
        <v>4.9332156516622536</v>
      </c>
      <c r="O75" s="133">
        <f>+SUM('12:25'!O75)</f>
        <v>0</v>
      </c>
      <c r="P75" s="137">
        <f t="shared" si="2"/>
        <v>0</v>
      </c>
      <c r="Q75" s="133">
        <f>+SUM('12:25'!Q75)</f>
        <v>0</v>
      </c>
      <c r="R75" s="19">
        <f t="shared" si="3"/>
        <v>0</v>
      </c>
      <c r="S75" s="137">
        <f t="shared" si="4"/>
        <v>0</v>
      </c>
      <c r="T75" s="20">
        <v>4</v>
      </c>
      <c r="U75" s="133">
        <f>+SUM('12:25'!U75)</f>
        <v>0</v>
      </c>
      <c r="V75" s="143" t="str">
        <f t="array" ref="V75">IF(ISERROR(L75/K75),"",L75/K75)</f>
        <v/>
      </c>
      <c r="W75" s="133">
        <f>+SUM('12:25'!W75)</f>
        <v>0</v>
      </c>
      <c r="X75" s="133">
        <f>+SUM('12:25'!X75)</f>
        <v>0</v>
      </c>
      <c r="Y75" s="133">
        <f>+SUM('12:25'!Y75)</f>
        <v>0</v>
      </c>
      <c r="Z75" s="133">
        <f>+SUM('12:25'!Z75)</f>
        <v>0</v>
      </c>
      <c r="AA75" s="133">
        <f>+SUM('12:25'!AA75)</f>
        <v>0</v>
      </c>
      <c r="AB75" s="133">
        <f>+SUM('12:25'!AB75)</f>
        <v>0</v>
      </c>
      <c r="AC75" s="133">
        <f>+SUM('12:25'!AC75)</f>
        <v>0</v>
      </c>
      <c r="AD75" s="1">
        <f t="shared" si="9"/>
        <v>0</v>
      </c>
      <c r="AE75" s="1">
        <v>254.37</v>
      </c>
      <c r="AF75" s="1">
        <f t="shared" si="10"/>
        <v>0</v>
      </c>
    </row>
    <row r="76" spans="1:32" ht="21.95" customHeight="1">
      <c r="A76" s="140">
        <v>300061</v>
      </c>
      <c r="B76" s="135" t="s">
        <v>92</v>
      </c>
      <c r="C76" s="226" t="s">
        <v>93</v>
      </c>
      <c r="D76" s="226" t="s">
        <v>94</v>
      </c>
      <c r="E76" s="139" t="s">
        <v>41</v>
      </c>
      <c r="F76" s="13"/>
      <c r="G76" s="133">
        <f>+SUM('12:25'!G76)</f>
        <v>0</v>
      </c>
      <c r="H76" s="133">
        <f>+SUM('12:25'!H76)</f>
        <v>0</v>
      </c>
      <c r="I76" s="133">
        <f>+SUM('12:25'!I76)</f>
        <v>0</v>
      </c>
      <c r="J76" s="133">
        <f>+SUM('12:25'!J76)</f>
        <v>0</v>
      </c>
      <c r="K76" s="137">
        <f t="shared" si="0"/>
        <v>0</v>
      </c>
      <c r="L76" s="137">
        <f t="shared" si="1"/>
        <v>0</v>
      </c>
      <c r="M76" s="137">
        <v>418.4</v>
      </c>
      <c r="N76" s="137">
        <f>+M76*1000/(51*1*110*60)*T76</f>
        <v>4.9720736779560308</v>
      </c>
      <c r="O76" s="133">
        <f>+SUM('12:25'!O76)</f>
        <v>0</v>
      </c>
      <c r="P76" s="137">
        <f t="shared" si="2"/>
        <v>0</v>
      </c>
      <c r="Q76" s="133">
        <f>+SUM('12:25'!Q76)</f>
        <v>0</v>
      </c>
      <c r="R76" s="19">
        <f t="shared" si="3"/>
        <v>0</v>
      </c>
      <c r="S76" s="137">
        <f t="shared" si="4"/>
        <v>0</v>
      </c>
      <c r="T76" s="20">
        <v>4</v>
      </c>
      <c r="U76" s="133">
        <f>+SUM('12:25'!U76)</f>
        <v>0</v>
      </c>
      <c r="V76" s="143" t="str">
        <f t="array" ref="V76">IF(ISERROR(L76/K76),"",L76/K76)</f>
        <v/>
      </c>
      <c r="W76" s="133">
        <f>+SUM('12:25'!W76)</f>
        <v>0</v>
      </c>
      <c r="X76" s="133">
        <f>+SUM('12:25'!X76)</f>
        <v>0</v>
      </c>
      <c r="Y76" s="133">
        <f>+SUM('12:25'!Y76)</f>
        <v>0</v>
      </c>
      <c r="Z76" s="133">
        <f>+SUM('12:25'!Z76)</f>
        <v>0</v>
      </c>
      <c r="AA76" s="133">
        <f>+SUM('12:25'!AA76)</f>
        <v>0</v>
      </c>
      <c r="AB76" s="133">
        <f>+SUM('12:25'!AB76)</f>
        <v>0</v>
      </c>
      <c r="AC76" s="133">
        <f>+SUM('12:25'!AC76)</f>
        <v>0</v>
      </c>
      <c r="AD76" s="1">
        <f t="shared" si="9"/>
        <v>0</v>
      </c>
      <c r="AE76" s="1">
        <v>254.37</v>
      </c>
      <c r="AF76" s="1">
        <f t="shared" si="10"/>
        <v>0</v>
      </c>
    </row>
    <row r="77" spans="1:32" ht="21.95" customHeight="1">
      <c r="A77" s="140">
        <v>300064</v>
      </c>
      <c r="B77" s="135">
        <v>5002</v>
      </c>
      <c r="C77" s="226" t="s">
        <v>95</v>
      </c>
      <c r="D77" s="226" t="s">
        <v>96</v>
      </c>
      <c r="E77" s="139" t="s">
        <v>35</v>
      </c>
      <c r="F77" s="13"/>
      <c r="G77" s="133">
        <f>+SUM('12:25'!G77)</f>
        <v>0.25</v>
      </c>
      <c r="H77" s="133">
        <f>+SUM('12:25'!H77)</f>
        <v>0.25</v>
      </c>
      <c r="I77" s="133">
        <f>+SUM('12:25'!I77)</f>
        <v>0.25</v>
      </c>
      <c r="J77" s="133">
        <f>+SUM('12:25'!J77)</f>
        <v>0</v>
      </c>
      <c r="K77" s="137">
        <f t="shared" ref="K77:K153" si="11">G77*M77</f>
        <v>104.8</v>
      </c>
      <c r="L77" s="137">
        <f t="shared" ref="L77:L153" si="12">I77*M77</f>
        <v>104.8</v>
      </c>
      <c r="M77" s="137">
        <v>419.2</v>
      </c>
      <c r="N77" s="137">
        <f>+M77*1000/(51.9*1*110*60)*T77</f>
        <v>4.8951947217843168</v>
      </c>
      <c r="O77" s="133">
        <f>+SUM('12:25'!O77)</f>
        <v>0</v>
      </c>
      <c r="P77" s="137">
        <f t="shared" ref="P77:P153" si="13">N77*I77+O77*U77</f>
        <v>1.2237986804460792</v>
      </c>
      <c r="Q77" s="133">
        <f>+SUM('12:25'!Q77)</f>
        <v>1</v>
      </c>
      <c r="R77" s="19">
        <f t="shared" ref="R77:R153" si="14">Q77*U77</f>
        <v>4</v>
      </c>
      <c r="S77" s="137">
        <f t="shared" ref="S77:S153" si="15">R77-P77</f>
        <v>2.7762013195539206</v>
      </c>
      <c r="T77" s="20">
        <v>4</v>
      </c>
      <c r="U77" s="133">
        <f>+SUM('12:25'!U77)</f>
        <v>4</v>
      </c>
      <c r="V77" s="143">
        <f t="array" ref="V77">IF(ISERROR(L77/K77),"",L77/K77)</f>
        <v>1</v>
      </c>
      <c r="W77" s="133">
        <f>+SUM('12:25'!W77)</f>
        <v>3</v>
      </c>
      <c r="X77" s="133">
        <f>+SUM('12:25'!X77)</f>
        <v>0</v>
      </c>
      <c r="Y77" s="133">
        <f>+SUM('12:25'!Y77)</f>
        <v>0</v>
      </c>
      <c r="Z77" s="133">
        <f>+SUM('12:25'!Z77)</f>
        <v>0</v>
      </c>
      <c r="AA77" s="133">
        <f>+SUM('12:25'!AA77)</f>
        <v>0.5</v>
      </c>
      <c r="AB77" s="133">
        <f>+SUM('12:25'!AB77)</f>
        <v>0</v>
      </c>
      <c r="AC77" s="133">
        <f>+SUM('12:25'!AC77)</f>
        <v>0</v>
      </c>
      <c r="AD77" s="1">
        <f t="shared" si="9"/>
        <v>0.10479999999999999</v>
      </c>
      <c r="AE77" s="1">
        <v>254.37</v>
      </c>
      <c r="AF77" s="1">
        <f t="shared" si="10"/>
        <v>26.657975999999998</v>
      </c>
    </row>
    <row r="78" spans="1:32" ht="21.95" customHeight="1">
      <c r="A78" s="140">
        <v>300060</v>
      </c>
      <c r="B78" s="135" t="s">
        <v>87</v>
      </c>
      <c r="C78" s="226" t="s">
        <v>93</v>
      </c>
      <c r="D78" s="226" t="s">
        <v>97</v>
      </c>
      <c r="E78" s="139" t="s">
        <v>57</v>
      </c>
      <c r="F78" s="13"/>
      <c r="G78" s="133">
        <f>+SUM('12:25'!G78)</f>
        <v>0</v>
      </c>
      <c r="H78" s="133">
        <f>+SUM('12:25'!H78)</f>
        <v>0</v>
      </c>
      <c r="I78" s="133">
        <f>+SUM('12:25'!I78)</f>
        <v>0</v>
      </c>
      <c r="J78" s="133">
        <f>+SUM('12:25'!J78)</f>
        <v>0</v>
      </c>
      <c r="K78" s="137">
        <f t="shared" si="11"/>
        <v>0</v>
      </c>
      <c r="L78" s="137">
        <f t="shared" si="12"/>
        <v>0</v>
      </c>
      <c r="M78" s="137">
        <v>416.9</v>
      </c>
      <c r="N78" s="137">
        <f>+M78*1000/(51*1*110*60)*T78</f>
        <v>4.9542483660130721</v>
      </c>
      <c r="O78" s="133">
        <f>+SUM('12:25'!O78)</f>
        <v>0</v>
      </c>
      <c r="P78" s="137">
        <f t="shared" si="13"/>
        <v>0</v>
      </c>
      <c r="Q78" s="133">
        <f>+SUM('12:25'!Q78)</f>
        <v>0</v>
      </c>
      <c r="R78" s="19">
        <f t="shared" si="14"/>
        <v>0</v>
      </c>
      <c r="S78" s="137">
        <f t="shared" si="15"/>
        <v>0</v>
      </c>
      <c r="T78" s="20">
        <v>4</v>
      </c>
      <c r="U78" s="133">
        <f>+SUM('12:25'!U78)</f>
        <v>0</v>
      </c>
      <c r="V78" s="143" t="str">
        <f t="array" ref="V78">IF(ISERROR(L78/K78),"",L78/K78)</f>
        <v/>
      </c>
      <c r="W78" s="133">
        <f>+SUM('12:25'!W78)</f>
        <v>0</v>
      </c>
      <c r="X78" s="133">
        <f>+SUM('12:25'!X78)</f>
        <v>0</v>
      </c>
      <c r="Y78" s="133">
        <f>+SUM('12:25'!Y78)</f>
        <v>0</v>
      </c>
      <c r="Z78" s="133">
        <f>+SUM('12:25'!Z78)</f>
        <v>0</v>
      </c>
      <c r="AA78" s="133">
        <f>+SUM('12:25'!AA78)</f>
        <v>0</v>
      </c>
      <c r="AB78" s="133">
        <f>+SUM('12:25'!AB78)</f>
        <v>0</v>
      </c>
      <c r="AC78" s="133">
        <f>+SUM('12:25'!AC78)</f>
        <v>0</v>
      </c>
      <c r="AD78" s="1">
        <f t="shared" si="9"/>
        <v>0</v>
      </c>
      <c r="AE78" s="1">
        <v>254.37</v>
      </c>
      <c r="AF78" s="1">
        <f t="shared" si="10"/>
        <v>0</v>
      </c>
    </row>
    <row r="79" spans="1:32" ht="21.95" customHeight="1">
      <c r="A79" s="140">
        <v>300068</v>
      </c>
      <c r="B79" s="135" t="s">
        <v>87</v>
      </c>
      <c r="C79" s="226" t="s">
        <v>98</v>
      </c>
      <c r="D79" s="226" t="s">
        <v>99</v>
      </c>
      <c r="E79" s="139" t="s">
        <v>37</v>
      </c>
      <c r="F79" s="13"/>
      <c r="G79" s="133">
        <f>+SUM('12:25'!G79)</f>
        <v>0</v>
      </c>
      <c r="H79" s="133">
        <f>+SUM('12:25'!H79)</f>
        <v>0</v>
      </c>
      <c r="I79" s="133">
        <f>+SUM('12:25'!I79)</f>
        <v>0</v>
      </c>
      <c r="J79" s="133">
        <f>+SUM('12:25'!J79)</f>
        <v>0</v>
      </c>
      <c r="K79" s="137">
        <f t="shared" si="11"/>
        <v>0</v>
      </c>
      <c r="L79" s="137">
        <f t="shared" si="12"/>
        <v>0</v>
      </c>
      <c r="M79" s="137">
        <v>438.4</v>
      </c>
      <c r="N79" s="137">
        <f>+M79*1000/(50*1*120*60)*T79</f>
        <v>4.8711111111111114</v>
      </c>
      <c r="O79" s="133">
        <f>+SUM('12:25'!O79)</f>
        <v>0</v>
      </c>
      <c r="P79" s="137">
        <f t="shared" si="13"/>
        <v>0</v>
      </c>
      <c r="Q79" s="133">
        <f>+SUM('12:25'!Q79)</f>
        <v>0</v>
      </c>
      <c r="R79" s="19">
        <f t="shared" si="14"/>
        <v>0</v>
      </c>
      <c r="S79" s="137">
        <f t="shared" si="15"/>
        <v>0</v>
      </c>
      <c r="T79" s="20">
        <v>4</v>
      </c>
      <c r="U79" s="133">
        <f>+SUM('12:25'!U79)</f>
        <v>0</v>
      </c>
      <c r="V79" s="143" t="str">
        <f t="array" ref="V79">IF(ISERROR(L79/K79),"",L79/K79)</f>
        <v/>
      </c>
      <c r="W79" s="133">
        <f>+SUM('12:25'!W79)</f>
        <v>0</v>
      </c>
      <c r="X79" s="133">
        <f>+SUM('12:25'!X79)</f>
        <v>0</v>
      </c>
      <c r="Y79" s="133">
        <f>+SUM('12:25'!Y79)</f>
        <v>0</v>
      </c>
      <c r="Z79" s="133">
        <f>+SUM('12:25'!Z79)</f>
        <v>0</v>
      </c>
      <c r="AA79" s="133">
        <f>+SUM('12:25'!AA79)</f>
        <v>0</v>
      </c>
      <c r="AB79" s="133">
        <f>+SUM('12:25'!AB79)</f>
        <v>0</v>
      </c>
      <c r="AC79" s="133">
        <f>+SUM('12:25'!AC79)</f>
        <v>0</v>
      </c>
      <c r="AD79" s="1">
        <f t="shared" si="9"/>
        <v>0</v>
      </c>
      <c r="AE79" s="1">
        <v>237.93</v>
      </c>
      <c r="AF79" s="1">
        <f t="shared" si="10"/>
        <v>0</v>
      </c>
    </row>
    <row r="80" spans="1:32" ht="21.95" customHeight="1">
      <c r="A80" s="140">
        <v>300065</v>
      </c>
      <c r="B80" s="135" t="s">
        <v>87</v>
      </c>
      <c r="C80" s="226" t="s">
        <v>98</v>
      </c>
      <c r="D80" s="226" t="s">
        <v>99</v>
      </c>
      <c r="E80" s="139" t="s">
        <v>35</v>
      </c>
      <c r="F80" s="13"/>
      <c r="G80" s="133">
        <f>+SUM('12:25'!G80)</f>
        <v>0</v>
      </c>
      <c r="H80" s="133">
        <f>+SUM('12:25'!H80)</f>
        <v>0</v>
      </c>
      <c r="I80" s="133">
        <f>+SUM('12:25'!I80)</f>
        <v>0</v>
      </c>
      <c r="J80" s="133">
        <f>+SUM('12:25'!J80)</f>
        <v>0</v>
      </c>
      <c r="K80" s="137">
        <f t="shared" si="11"/>
        <v>0</v>
      </c>
      <c r="L80" s="137">
        <f t="shared" si="12"/>
        <v>0</v>
      </c>
      <c r="M80" s="137">
        <v>438.8</v>
      </c>
      <c r="N80" s="137">
        <f>+M80*1000/(50*1*120*60)*T80</f>
        <v>4.8755555555555556</v>
      </c>
      <c r="O80" s="133">
        <f>+SUM('12:25'!O80)</f>
        <v>0</v>
      </c>
      <c r="P80" s="137">
        <f t="shared" si="13"/>
        <v>0</v>
      </c>
      <c r="Q80" s="133">
        <f>+SUM('12:25'!Q80)</f>
        <v>0</v>
      </c>
      <c r="R80" s="19">
        <f t="shared" si="14"/>
        <v>0</v>
      </c>
      <c r="S80" s="137">
        <f t="shared" si="15"/>
        <v>0</v>
      </c>
      <c r="T80" s="20">
        <v>4</v>
      </c>
      <c r="U80" s="133">
        <f>+SUM('12:25'!U80)</f>
        <v>0</v>
      </c>
      <c r="V80" s="143" t="str">
        <f t="array" ref="V80">IF(ISERROR(L80/K80),"",L80/K80)</f>
        <v/>
      </c>
      <c r="W80" s="133">
        <f>+SUM('12:25'!W80)</f>
        <v>0</v>
      </c>
      <c r="X80" s="133">
        <f>+SUM('12:25'!X80)</f>
        <v>0</v>
      </c>
      <c r="Y80" s="133">
        <f>+SUM('12:25'!Y80)</f>
        <v>0</v>
      </c>
      <c r="Z80" s="133">
        <f>+SUM('12:25'!Z80)</f>
        <v>0</v>
      </c>
      <c r="AA80" s="133">
        <f>+SUM('12:25'!AA80)</f>
        <v>0</v>
      </c>
      <c r="AB80" s="133">
        <f>+SUM('12:25'!AB80)</f>
        <v>0</v>
      </c>
      <c r="AC80" s="133">
        <f>+SUM('12:25'!AC80)</f>
        <v>0</v>
      </c>
      <c r="AD80" s="1">
        <f t="shared" si="9"/>
        <v>0</v>
      </c>
      <c r="AE80" s="1">
        <v>237.93</v>
      </c>
      <c r="AF80" s="1">
        <f t="shared" si="10"/>
        <v>0</v>
      </c>
    </row>
    <row r="81" spans="1:32" ht="21.95" customHeight="1">
      <c r="A81" s="140">
        <v>300066</v>
      </c>
      <c r="B81" s="135" t="s">
        <v>87</v>
      </c>
      <c r="C81" s="226" t="s">
        <v>98</v>
      </c>
      <c r="D81" s="226" t="s">
        <v>99</v>
      </c>
      <c r="E81" s="139" t="s">
        <v>66</v>
      </c>
      <c r="F81" s="13"/>
      <c r="G81" s="133">
        <f>+SUM('12:25'!G81)</f>
        <v>0</v>
      </c>
      <c r="H81" s="133">
        <f>+SUM('12:25'!H81)</f>
        <v>0</v>
      </c>
      <c r="I81" s="133">
        <f>+SUM('12:25'!I81)</f>
        <v>0</v>
      </c>
      <c r="J81" s="133">
        <f>+SUM('12:25'!J81)</f>
        <v>0</v>
      </c>
      <c r="K81" s="137">
        <f t="shared" si="11"/>
        <v>0</v>
      </c>
      <c r="L81" s="137">
        <f t="shared" si="12"/>
        <v>0</v>
      </c>
      <c r="M81" s="137">
        <v>438.4</v>
      </c>
      <c r="N81" s="137">
        <f>+M81*1000/(50*1*120*60)*T81</f>
        <v>4.8711111111111114</v>
      </c>
      <c r="O81" s="133">
        <f>+SUM('12:25'!O81)</f>
        <v>0</v>
      </c>
      <c r="P81" s="137">
        <f t="shared" si="13"/>
        <v>0</v>
      </c>
      <c r="Q81" s="133">
        <f>+SUM('12:25'!Q81)</f>
        <v>0</v>
      </c>
      <c r="R81" s="19">
        <f t="shared" si="14"/>
        <v>0</v>
      </c>
      <c r="S81" s="137">
        <f t="shared" si="15"/>
        <v>0</v>
      </c>
      <c r="T81" s="20">
        <v>4</v>
      </c>
      <c r="U81" s="133">
        <f>+SUM('12:25'!U81)</f>
        <v>0</v>
      </c>
      <c r="V81" s="143"/>
      <c r="W81" s="133">
        <f>+SUM('12:25'!W81)</f>
        <v>0</v>
      </c>
      <c r="X81" s="133">
        <f>+SUM('12:25'!X81)</f>
        <v>0</v>
      </c>
      <c r="Y81" s="133">
        <f>+SUM('12:25'!Y81)</f>
        <v>0</v>
      </c>
      <c r="Z81" s="133">
        <f>+SUM('12:25'!Z81)</f>
        <v>0</v>
      </c>
      <c r="AA81" s="133">
        <f>+SUM('12:25'!AA81)</f>
        <v>0</v>
      </c>
      <c r="AB81" s="133">
        <f>+SUM('12:25'!AB81)</f>
        <v>0</v>
      </c>
      <c r="AC81" s="133">
        <f>+SUM('12:25'!AC81)</f>
        <v>0</v>
      </c>
      <c r="AD81" s="1">
        <f t="shared" si="9"/>
        <v>0</v>
      </c>
      <c r="AE81" s="1">
        <v>237.93</v>
      </c>
      <c r="AF81" s="1">
        <f t="shared" si="10"/>
        <v>0</v>
      </c>
    </row>
    <row r="82" spans="1:32" ht="21.95" customHeight="1">
      <c r="A82" s="140">
        <v>300067</v>
      </c>
      <c r="B82" s="135" t="s">
        <v>87</v>
      </c>
      <c r="C82" s="226" t="s">
        <v>98</v>
      </c>
      <c r="D82" s="226" t="s">
        <v>99</v>
      </c>
      <c r="E82" s="139" t="s">
        <v>41</v>
      </c>
      <c r="F82" s="13"/>
      <c r="G82" s="133">
        <f>+SUM('12:25'!G82)</f>
        <v>0</v>
      </c>
      <c r="H82" s="133">
        <f>+SUM('12:25'!H82)</f>
        <v>0</v>
      </c>
      <c r="I82" s="133">
        <f>+SUM('12:25'!I82)</f>
        <v>0</v>
      </c>
      <c r="J82" s="133">
        <f>+SUM('12:25'!J82)</f>
        <v>0</v>
      </c>
      <c r="K82" s="137">
        <f t="shared" si="11"/>
        <v>0</v>
      </c>
      <c r="L82" s="137">
        <f t="shared" si="12"/>
        <v>0</v>
      </c>
      <c r="M82" s="137">
        <v>438.8</v>
      </c>
      <c r="N82" s="137">
        <f>+M82*1000/(50*1*120*60)*T82</f>
        <v>4.8755555555555556</v>
      </c>
      <c r="O82" s="133">
        <f>+SUM('12:25'!O82)</f>
        <v>0</v>
      </c>
      <c r="P82" s="137">
        <f t="shared" si="13"/>
        <v>0</v>
      </c>
      <c r="Q82" s="133">
        <f>+SUM('12:25'!Q82)</f>
        <v>0</v>
      </c>
      <c r="R82" s="19">
        <f t="shared" si="14"/>
        <v>0</v>
      </c>
      <c r="S82" s="137">
        <f t="shared" si="15"/>
        <v>0</v>
      </c>
      <c r="T82" s="20">
        <v>4</v>
      </c>
      <c r="U82" s="133">
        <f>+SUM('12:25'!U82)</f>
        <v>0</v>
      </c>
      <c r="V82" s="143" t="str">
        <f t="array" ref="V82">IF(ISERROR(L82/K82),"",L82/K82)</f>
        <v/>
      </c>
      <c r="W82" s="133">
        <f>+SUM('12:25'!W82)</f>
        <v>0</v>
      </c>
      <c r="X82" s="133">
        <f>+SUM('12:25'!X82)</f>
        <v>0</v>
      </c>
      <c r="Y82" s="133">
        <f>+SUM('12:25'!Y82)</f>
        <v>0</v>
      </c>
      <c r="Z82" s="133">
        <f>+SUM('12:25'!Z82)</f>
        <v>0</v>
      </c>
      <c r="AA82" s="133">
        <f>+SUM('12:25'!AA82)</f>
        <v>0</v>
      </c>
      <c r="AB82" s="133">
        <f>+SUM('12:25'!AB82)</f>
        <v>0</v>
      </c>
      <c r="AC82" s="133">
        <f>+SUM('12:25'!AC82)</f>
        <v>0</v>
      </c>
      <c r="AD82" s="1">
        <f t="shared" si="9"/>
        <v>0</v>
      </c>
      <c r="AE82" s="1">
        <v>237.93</v>
      </c>
      <c r="AF82" s="1">
        <f t="shared" si="10"/>
        <v>0</v>
      </c>
    </row>
    <row r="83" spans="1:32" s="132" customFormat="1" ht="21.95" customHeight="1">
      <c r="A83" s="126">
        <v>300437</v>
      </c>
      <c r="B83" s="147" t="s">
        <v>87</v>
      </c>
      <c r="C83" s="239" t="s">
        <v>98</v>
      </c>
      <c r="D83" s="239" t="s">
        <v>99</v>
      </c>
      <c r="E83" s="42" t="s">
        <v>310</v>
      </c>
      <c r="F83" s="127"/>
      <c r="G83" s="133">
        <f>+SUM('12:25'!G83)</f>
        <v>0</v>
      </c>
      <c r="H83" s="133">
        <f>+SUM('12:25'!H83)</f>
        <v>0</v>
      </c>
      <c r="I83" s="133">
        <f>+SUM('12:25'!I83)</f>
        <v>0</v>
      </c>
      <c r="J83" s="133">
        <f>+SUM('12:25'!J83)</f>
        <v>0</v>
      </c>
      <c r="K83" s="15">
        <f t="shared" si="11"/>
        <v>0</v>
      </c>
      <c r="L83" s="15">
        <f t="shared" si="12"/>
        <v>0</v>
      </c>
      <c r="M83" s="15">
        <v>438.8</v>
      </c>
      <c r="N83" s="15">
        <f>+M83*1000/(50*1*120*60)*T83</f>
        <v>4.8755555555555556</v>
      </c>
      <c r="O83" s="133">
        <f>+SUM('12:25'!O83)</f>
        <v>0</v>
      </c>
      <c r="P83" s="15">
        <f t="shared" si="13"/>
        <v>0</v>
      </c>
      <c r="Q83" s="133">
        <f>+SUM('12:25'!Q83)</f>
        <v>0</v>
      </c>
      <c r="R83" s="129">
        <f t="shared" si="14"/>
        <v>0</v>
      </c>
      <c r="S83" s="15">
        <f t="shared" si="15"/>
        <v>0</v>
      </c>
      <c r="T83" s="130">
        <v>4</v>
      </c>
      <c r="U83" s="133">
        <f>+SUM('12:25'!U83)</f>
        <v>0</v>
      </c>
      <c r="V83" s="131"/>
      <c r="W83" s="133">
        <f>+SUM('12:25'!W83)</f>
        <v>0</v>
      </c>
      <c r="X83" s="133">
        <f>+SUM('12:25'!X83)</f>
        <v>0</v>
      </c>
      <c r="Y83" s="133">
        <f>+SUM('12:25'!Y83)</f>
        <v>0</v>
      </c>
      <c r="Z83" s="133">
        <f>+SUM('12:25'!Z83)</f>
        <v>0</v>
      </c>
      <c r="AA83" s="133">
        <f>+SUM('12:25'!AA83)</f>
        <v>0</v>
      </c>
      <c r="AB83" s="133">
        <f>+SUM('12:25'!AB83)</f>
        <v>0</v>
      </c>
      <c r="AC83" s="133">
        <f>+SUM('12:25'!AC83)</f>
        <v>0</v>
      </c>
      <c r="AD83" s="1">
        <f t="shared" si="9"/>
        <v>0</v>
      </c>
      <c r="AE83" s="185">
        <v>237.93</v>
      </c>
      <c r="AF83" s="1">
        <f t="shared" si="10"/>
        <v>0</v>
      </c>
    </row>
    <row r="84" spans="1:32" s="2" customFormat="1" ht="21.95" customHeight="1">
      <c r="A84" s="140">
        <v>300384</v>
      </c>
      <c r="B84" s="135" t="s">
        <v>87</v>
      </c>
      <c r="C84" s="226" t="s">
        <v>100</v>
      </c>
      <c r="D84" s="226" t="s">
        <v>101</v>
      </c>
      <c r="E84" s="139" t="s">
        <v>35</v>
      </c>
      <c r="F84" s="141"/>
      <c r="G84" s="133">
        <f>+SUM('12:25'!G84)</f>
        <v>0</v>
      </c>
      <c r="H84" s="133">
        <f>+SUM('12:25'!H84)</f>
        <v>0</v>
      </c>
      <c r="I84" s="133">
        <f>+SUM('12:25'!I84)</f>
        <v>0</v>
      </c>
      <c r="J84" s="133">
        <f>+SUM('12:25'!J84)</f>
        <v>0</v>
      </c>
      <c r="K84" s="137">
        <f t="shared" si="11"/>
        <v>0</v>
      </c>
      <c r="L84" s="137">
        <f t="shared" si="12"/>
        <v>0</v>
      </c>
      <c r="M84" s="137">
        <v>415.5</v>
      </c>
      <c r="N84" s="15">
        <f>+M84*1000/(51*1*110*60)*T84</f>
        <v>8.6408199643493759</v>
      </c>
      <c r="O84" s="133">
        <f>+SUM('12:25'!O84)</f>
        <v>0</v>
      </c>
      <c r="P84" s="137">
        <f t="shared" si="13"/>
        <v>0</v>
      </c>
      <c r="Q84" s="133">
        <f>+SUM('12:25'!Q84)</f>
        <v>0</v>
      </c>
      <c r="R84" s="19">
        <f t="shared" si="14"/>
        <v>0</v>
      </c>
      <c r="S84" s="137">
        <f t="shared" si="15"/>
        <v>0</v>
      </c>
      <c r="T84" s="20">
        <v>7</v>
      </c>
      <c r="U84" s="133">
        <f>+SUM('12:25'!U84)</f>
        <v>0</v>
      </c>
      <c r="V84" s="143" t="str">
        <f t="array" ref="V84">IF(ISERROR(L84/K84),"",L84/K84)</f>
        <v/>
      </c>
      <c r="W84" s="133">
        <f>+SUM('12:25'!W84)</f>
        <v>0</v>
      </c>
      <c r="X84" s="133">
        <f>+SUM('12:25'!X84)</f>
        <v>0</v>
      </c>
      <c r="Y84" s="133">
        <f>+SUM('12:25'!Y84)</f>
        <v>0</v>
      </c>
      <c r="Z84" s="133">
        <f>+SUM('12:25'!Z84)</f>
        <v>0</v>
      </c>
      <c r="AA84" s="133">
        <f>+SUM('12:25'!AA84)</f>
        <v>0</v>
      </c>
      <c r="AB84" s="133">
        <f>+SUM('12:25'!AB84)</f>
        <v>0</v>
      </c>
      <c r="AC84" s="133">
        <f>+SUM('12:25'!AC84)</f>
        <v>0</v>
      </c>
      <c r="AD84" s="1">
        <f t="shared" si="9"/>
        <v>0</v>
      </c>
      <c r="AE84" s="52">
        <v>249.38</v>
      </c>
      <c r="AF84" s="1">
        <f t="shared" si="10"/>
        <v>0</v>
      </c>
    </row>
    <row r="85" spans="1:32" s="2" customFormat="1" ht="21.95" customHeight="1">
      <c r="A85" s="140">
        <v>300383</v>
      </c>
      <c r="B85" s="135" t="s">
        <v>87</v>
      </c>
      <c r="C85" s="226" t="s">
        <v>100</v>
      </c>
      <c r="D85" s="226" t="s">
        <v>102</v>
      </c>
      <c r="E85" s="139" t="s">
        <v>41</v>
      </c>
      <c r="F85" s="141"/>
      <c r="G85" s="133">
        <f>+SUM('12:25'!G85)</f>
        <v>0</v>
      </c>
      <c r="H85" s="133">
        <f>+SUM('12:25'!H85)</f>
        <v>0</v>
      </c>
      <c r="I85" s="133">
        <f>+SUM('12:25'!I85)</f>
        <v>0</v>
      </c>
      <c r="J85" s="133">
        <f>+SUM('12:25'!J85)</f>
        <v>0</v>
      </c>
      <c r="K85" s="137">
        <f t="shared" si="11"/>
        <v>0</v>
      </c>
      <c r="L85" s="137">
        <f t="shared" si="12"/>
        <v>0</v>
      </c>
      <c r="M85" s="137">
        <v>415.5</v>
      </c>
      <c r="N85" s="15">
        <f>+M85*1000/(51*1*110*60)*T85</f>
        <v>8.6408199643493759</v>
      </c>
      <c r="O85" s="133">
        <f>+SUM('12:25'!O85)</f>
        <v>0</v>
      </c>
      <c r="P85" s="137">
        <f t="shared" si="13"/>
        <v>0</v>
      </c>
      <c r="Q85" s="133">
        <f>+SUM('12:25'!Q85)</f>
        <v>0</v>
      </c>
      <c r="R85" s="19">
        <f t="shared" si="14"/>
        <v>0</v>
      </c>
      <c r="S85" s="137">
        <f t="shared" si="15"/>
        <v>0</v>
      </c>
      <c r="T85" s="20">
        <v>7</v>
      </c>
      <c r="U85" s="133">
        <f>+SUM('12:25'!U85)</f>
        <v>0</v>
      </c>
      <c r="V85" s="143"/>
      <c r="W85" s="133">
        <f>+SUM('12:25'!W85)</f>
        <v>0</v>
      </c>
      <c r="X85" s="133">
        <f>+SUM('12:25'!X85)</f>
        <v>0</v>
      </c>
      <c r="Y85" s="133">
        <f>+SUM('12:25'!Y85)</f>
        <v>0</v>
      </c>
      <c r="Z85" s="133">
        <f>+SUM('12:25'!Z85)</f>
        <v>0</v>
      </c>
      <c r="AA85" s="133">
        <f>+SUM('12:25'!AA85)</f>
        <v>0</v>
      </c>
      <c r="AB85" s="133">
        <f>+SUM('12:25'!AB85)</f>
        <v>0</v>
      </c>
      <c r="AC85" s="133">
        <f>+SUM('12:25'!AC85)</f>
        <v>0</v>
      </c>
      <c r="AD85" s="1">
        <f t="shared" si="9"/>
        <v>0</v>
      </c>
      <c r="AE85" s="52">
        <v>249.38</v>
      </c>
      <c r="AF85" s="1">
        <f t="shared" si="10"/>
        <v>0</v>
      </c>
    </row>
    <row r="86" spans="1:32" s="2" customFormat="1" ht="21.95" customHeight="1">
      <c r="A86" s="140">
        <v>300386</v>
      </c>
      <c r="B86" s="135" t="s">
        <v>87</v>
      </c>
      <c r="C86" s="226" t="s">
        <v>100</v>
      </c>
      <c r="D86" s="226" t="s">
        <v>103</v>
      </c>
      <c r="E86" s="139" t="s">
        <v>66</v>
      </c>
      <c r="F86" s="141"/>
      <c r="G86" s="133">
        <f>+SUM('12:25'!G86)</f>
        <v>2</v>
      </c>
      <c r="H86" s="133">
        <f>+SUM('12:25'!H86)</f>
        <v>0</v>
      </c>
      <c r="I86" s="133">
        <f>+SUM('12:25'!I86)</f>
        <v>2</v>
      </c>
      <c r="J86" s="133">
        <f>+SUM('12:25'!J86)</f>
        <v>0</v>
      </c>
      <c r="K86" s="137">
        <f t="shared" si="11"/>
        <v>831</v>
      </c>
      <c r="L86" s="137">
        <f t="shared" si="12"/>
        <v>831</v>
      </c>
      <c r="M86" s="137">
        <v>415.5</v>
      </c>
      <c r="N86" s="15">
        <f>+M86*1000/(51*1*110*60)*T86</f>
        <v>8.6408199643493759</v>
      </c>
      <c r="O86" s="133">
        <f>+SUM('12:25'!O86)</f>
        <v>0.5</v>
      </c>
      <c r="P86" s="137">
        <f t="shared" si="13"/>
        <v>19.781639928698752</v>
      </c>
      <c r="Q86" s="133">
        <f>+SUM('12:25'!Q86)</f>
        <v>2</v>
      </c>
      <c r="R86" s="19">
        <f t="shared" si="14"/>
        <v>10</v>
      </c>
      <c r="S86" s="137">
        <f t="shared" si="15"/>
        <v>-9.7816399286987519</v>
      </c>
      <c r="T86" s="20">
        <v>7</v>
      </c>
      <c r="U86" s="133">
        <f>+SUM('12:25'!U86)</f>
        <v>5</v>
      </c>
      <c r="V86" s="143"/>
      <c r="W86" s="133">
        <f>+SUM('12:25'!W86)</f>
        <v>0</v>
      </c>
      <c r="X86" s="133">
        <f>+SUM('12:25'!X86)</f>
        <v>0</v>
      </c>
      <c r="Y86" s="133">
        <f>+SUM('12:25'!Y86)</f>
        <v>0</v>
      </c>
      <c r="Z86" s="133">
        <f>+SUM('12:25'!Z86)</f>
        <v>0</v>
      </c>
      <c r="AA86" s="133">
        <f>+SUM('12:25'!AA86)</f>
        <v>1</v>
      </c>
      <c r="AB86" s="133">
        <f>+SUM('12:25'!AB86)</f>
        <v>0</v>
      </c>
      <c r="AC86" s="133">
        <f>+SUM('12:25'!AC86)</f>
        <v>0</v>
      </c>
      <c r="AD86" s="1">
        <f t="shared" si="9"/>
        <v>0.83099999999999996</v>
      </c>
      <c r="AE86" s="52">
        <v>249.38</v>
      </c>
      <c r="AF86" s="1">
        <f t="shared" si="10"/>
        <v>207.23478</v>
      </c>
    </row>
    <row r="87" spans="1:32" s="2" customFormat="1" ht="21.95" customHeight="1">
      <c r="A87" s="140">
        <v>300385</v>
      </c>
      <c r="B87" s="135" t="s">
        <v>87</v>
      </c>
      <c r="C87" s="226" t="s">
        <v>100</v>
      </c>
      <c r="D87" s="226" t="s">
        <v>104</v>
      </c>
      <c r="E87" s="139" t="s">
        <v>105</v>
      </c>
      <c r="F87" s="141"/>
      <c r="G87" s="133">
        <f>+SUM('12:25'!G87)</f>
        <v>2</v>
      </c>
      <c r="H87" s="133">
        <f>+SUM('12:25'!H87)</f>
        <v>0</v>
      </c>
      <c r="I87" s="133">
        <f>+SUM('12:25'!I87)</f>
        <v>2</v>
      </c>
      <c r="J87" s="133">
        <f>+SUM('12:25'!J87)</f>
        <v>0</v>
      </c>
      <c r="K87" s="137">
        <f t="shared" si="11"/>
        <v>831</v>
      </c>
      <c r="L87" s="137">
        <f t="shared" si="12"/>
        <v>831</v>
      </c>
      <c r="M87" s="137">
        <v>415.5</v>
      </c>
      <c r="N87" s="15">
        <f>+M87*1000/(51*1*110*60)*T87</f>
        <v>8.6408199643493759</v>
      </c>
      <c r="O87" s="133">
        <f>+SUM('12:25'!O87)</f>
        <v>0.5</v>
      </c>
      <c r="P87" s="137">
        <f t="shared" si="13"/>
        <v>19.781639928698752</v>
      </c>
      <c r="Q87" s="133">
        <f>+SUM('12:25'!Q87)</f>
        <v>3</v>
      </c>
      <c r="R87" s="19">
        <f t="shared" si="14"/>
        <v>15</v>
      </c>
      <c r="S87" s="137">
        <f t="shared" si="15"/>
        <v>-4.7816399286987519</v>
      </c>
      <c r="T87" s="20">
        <v>7</v>
      </c>
      <c r="U87" s="133">
        <f>+SUM('12:25'!U87)</f>
        <v>5</v>
      </c>
      <c r="V87" s="143"/>
      <c r="W87" s="133">
        <f>+SUM('12:25'!W87)</f>
        <v>0</v>
      </c>
      <c r="X87" s="133">
        <f>+SUM('12:25'!X87)</f>
        <v>0</v>
      </c>
      <c r="Y87" s="133">
        <f>+SUM('12:25'!Y87)</f>
        <v>0</v>
      </c>
      <c r="Z87" s="133">
        <f>+SUM('12:25'!Z87)</f>
        <v>0</v>
      </c>
      <c r="AA87" s="133">
        <f>+SUM('12:25'!AA87)</f>
        <v>0</v>
      </c>
      <c r="AB87" s="133">
        <f>+SUM('12:25'!AB87)</f>
        <v>0</v>
      </c>
      <c r="AC87" s="133">
        <f>+SUM('12:25'!AC87)</f>
        <v>0</v>
      </c>
      <c r="AD87" s="1">
        <f t="shared" si="9"/>
        <v>0.83099999999999996</v>
      </c>
      <c r="AE87" s="52">
        <v>249.38</v>
      </c>
      <c r="AF87" s="1">
        <f t="shared" si="10"/>
        <v>207.23478</v>
      </c>
    </row>
    <row r="88" spans="1:32" ht="21.95" customHeight="1">
      <c r="A88" s="140">
        <v>300352</v>
      </c>
      <c r="B88" s="135" t="s">
        <v>87</v>
      </c>
      <c r="C88" s="226" t="s">
        <v>106</v>
      </c>
      <c r="D88" s="226" t="s">
        <v>101</v>
      </c>
      <c r="E88" s="139" t="s">
        <v>35</v>
      </c>
      <c r="F88" s="13"/>
      <c r="G88" s="133">
        <f>+SUM('12:25'!G88)</f>
        <v>0</v>
      </c>
      <c r="H88" s="133">
        <f>+SUM('12:25'!H88)</f>
        <v>0</v>
      </c>
      <c r="I88" s="133">
        <f>+SUM('12:25'!I88)</f>
        <v>0</v>
      </c>
      <c r="J88" s="133">
        <f>+SUM('12:25'!J88)</f>
        <v>0</v>
      </c>
      <c r="K88" s="137">
        <f t="shared" si="11"/>
        <v>0</v>
      </c>
      <c r="L88" s="137">
        <f t="shared" si="12"/>
        <v>0</v>
      </c>
      <c r="M88" s="137">
        <v>515.9</v>
      </c>
      <c r="N88" s="137">
        <f>+M88*1000/(80*1*110*60)*T88</f>
        <v>6.8395833333333336</v>
      </c>
      <c r="O88" s="133">
        <f>+SUM('12:25'!O88)</f>
        <v>0</v>
      </c>
      <c r="P88" s="137">
        <f t="shared" si="13"/>
        <v>0</v>
      </c>
      <c r="Q88" s="133">
        <f>+SUM('12:25'!Q88)</f>
        <v>0</v>
      </c>
      <c r="R88" s="19">
        <f t="shared" si="14"/>
        <v>0</v>
      </c>
      <c r="S88" s="137">
        <f t="shared" si="15"/>
        <v>0</v>
      </c>
      <c r="T88" s="20">
        <v>7</v>
      </c>
      <c r="U88" s="133">
        <f>+SUM('12:25'!U88)</f>
        <v>0</v>
      </c>
      <c r="V88" s="143" t="str">
        <f t="array" ref="V88">IF(ISERROR(L88/K88),"",L88/K88)</f>
        <v/>
      </c>
      <c r="W88" s="133">
        <f>+SUM('12:25'!W88)</f>
        <v>0</v>
      </c>
      <c r="X88" s="133">
        <f>+SUM('12:25'!X88)</f>
        <v>0</v>
      </c>
      <c r="Y88" s="133">
        <f>+SUM('12:25'!Y88)</f>
        <v>0</v>
      </c>
      <c r="Z88" s="133">
        <f>+SUM('12:25'!Z88)</f>
        <v>0</v>
      </c>
      <c r="AA88" s="133">
        <f>+SUM('12:25'!AA88)</f>
        <v>0</v>
      </c>
      <c r="AB88" s="133">
        <f>+SUM('12:25'!AB88)</f>
        <v>0</v>
      </c>
      <c r="AC88" s="133">
        <f>+SUM('12:25'!AC88)</f>
        <v>0</v>
      </c>
      <c r="AD88" s="1">
        <f t="shared" si="9"/>
        <v>0</v>
      </c>
      <c r="AE88" s="1">
        <v>218.6</v>
      </c>
      <c r="AF88" s="1">
        <f t="shared" si="10"/>
        <v>0</v>
      </c>
    </row>
    <row r="89" spans="1:32" ht="21.95" customHeight="1">
      <c r="A89" s="140">
        <v>300353</v>
      </c>
      <c r="B89" s="135" t="s">
        <v>87</v>
      </c>
      <c r="C89" s="226" t="s">
        <v>106</v>
      </c>
      <c r="D89" s="226" t="s">
        <v>101</v>
      </c>
      <c r="E89" s="139" t="s">
        <v>105</v>
      </c>
      <c r="F89" s="13"/>
      <c r="G89" s="133">
        <f>+SUM('12:25'!G89)</f>
        <v>0</v>
      </c>
      <c r="H89" s="133">
        <f>+SUM('12:25'!H89)</f>
        <v>0</v>
      </c>
      <c r="I89" s="133">
        <f>+SUM('12:25'!I89)</f>
        <v>0</v>
      </c>
      <c r="J89" s="133">
        <f>+SUM('12:25'!J89)</f>
        <v>0</v>
      </c>
      <c r="K89" s="137">
        <f t="shared" si="11"/>
        <v>0</v>
      </c>
      <c r="L89" s="137">
        <f t="shared" si="12"/>
        <v>0</v>
      </c>
      <c r="M89" s="137">
        <v>515.9</v>
      </c>
      <c r="N89" s="137">
        <f>+M89*1000/(80*1*110*60)*T89</f>
        <v>6.8395833333333336</v>
      </c>
      <c r="O89" s="133">
        <f>+SUM('12:25'!O89)</f>
        <v>0</v>
      </c>
      <c r="P89" s="137">
        <f t="shared" si="13"/>
        <v>0</v>
      </c>
      <c r="Q89" s="133">
        <f>+SUM('12:25'!Q89)</f>
        <v>0</v>
      </c>
      <c r="R89" s="19">
        <f t="shared" si="14"/>
        <v>0</v>
      </c>
      <c r="S89" s="137">
        <f t="shared" si="15"/>
        <v>0</v>
      </c>
      <c r="T89" s="20">
        <v>7</v>
      </c>
      <c r="U89" s="133">
        <f>+SUM('12:25'!U89)</f>
        <v>0</v>
      </c>
      <c r="V89" s="143" t="str">
        <f t="array" ref="V89">IF(ISERROR(L89/K89),"",L89/K89)</f>
        <v/>
      </c>
      <c r="W89" s="133">
        <f>+SUM('12:25'!W89)</f>
        <v>0</v>
      </c>
      <c r="X89" s="133">
        <f>+SUM('12:25'!X89)</f>
        <v>0</v>
      </c>
      <c r="Y89" s="133">
        <f>+SUM('12:25'!Y89)</f>
        <v>0</v>
      </c>
      <c r="Z89" s="133">
        <f>+SUM('12:25'!Z89)</f>
        <v>0</v>
      </c>
      <c r="AA89" s="133">
        <f>+SUM('12:25'!AA89)</f>
        <v>0</v>
      </c>
      <c r="AB89" s="133">
        <f>+SUM('12:25'!AB89)</f>
        <v>0</v>
      </c>
      <c r="AC89" s="133">
        <f>+SUM('12:25'!AC89)</f>
        <v>0</v>
      </c>
      <c r="AD89" s="1">
        <f t="shared" si="9"/>
        <v>0</v>
      </c>
      <c r="AE89" s="1">
        <v>218.6</v>
      </c>
      <c r="AF89" s="1">
        <f t="shared" si="10"/>
        <v>0</v>
      </c>
    </row>
    <row r="90" spans="1:32" ht="21.95" customHeight="1">
      <c r="A90" s="140">
        <v>300351</v>
      </c>
      <c r="B90" s="135" t="s">
        <v>87</v>
      </c>
      <c r="C90" s="226" t="s">
        <v>106</v>
      </c>
      <c r="D90" s="226" t="s">
        <v>101</v>
      </c>
      <c r="E90" s="139" t="s">
        <v>41</v>
      </c>
      <c r="F90" s="13"/>
      <c r="G90" s="133">
        <f>+SUM('12:25'!G90)</f>
        <v>0</v>
      </c>
      <c r="H90" s="133">
        <f>+SUM('12:25'!H90)</f>
        <v>0</v>
      </c>
      <c r="I90" s="133">
        <f>+SUM('12:25'!I90)</f>
        <v>0</v>
      </c>
      <c r="J90" s="133">
        <f>+SUM('12:25'!J90)</f>
        <v>0</v>
      </c>
      <c r="K90" s="137">
        <f t="shared" si="11"/>
        <v>0</v>
      </c>
      <c r="L90" s="137">
        <f t="shared" si="12"/>
        <v>0</v>
      </c>
      <c r="M90" s="137">
        <v>515.9</v>
      </c>
      <c r="N90" s="137">
        <f>+M90*1000/(80*1*110*60)*T90</f>
        <v>6.8395833333333336</v>
      </c>
      <c r="O90" s="133">
        <f>+SUM('12:25'!O90)</f>
        <v>0</v>
      </c>
      <c r="P90" s="137">
        <f t="shared" si="13"/>
        <v>0</v>
      </c>
      <c r="Q90" s="133">
        <f>+SUM('12:25'!Q90)</f>
        <v>0</v>
      </c>
      <c r="R90" s="19">
        <f t="shared" si="14"/>
        <v>0</v>
      </c>
      <c r="S90" s="137">
        <f t="shared" si="15"/>
        <v>0</v>
      </c>
      <c r="T90" s="20">
        <v>7</v>
      </c>
      <c r="U90" s="133">
        <f>+SUM('12:25'!U90)</f>
        <v>0</v>
      </c>
      <c r="V90" s="143" t="str">
        <f t="array" ref="V90">IF(ISERROR(L90/K90),"",L90/K90)</f>
        <v/>
      </c>
      <c r="W90" s="133">
        <f>+SUM('12:25'!W90)</f>
        <v>0</v>
      </c>
      <c r="X90" s="133">
        <f>+SUM('12:25'!X90)</f>
        <v>0</v>
      </c>
      <c r="Y90" s="133">
        <f>+SUM('12:25'!Y90)</f>
        <v>0</v>
      </c>
      <c r="Z90" s="133">
        <f>+SUM('12:25'!Z90)</f>
        <v>0</v>
      </c>
      <c r="AA90" s="133">
        <f>+SUM('12:25'!AA90)</f>
        <v>0</v>
      </c>
      <c r="AB90" s="133">
        <f>+SUM('12:25'!AB90)</f>
        <v>0</v>
      </c>
      <c r="AC90" s="133">
        <f>+SUM('12:25'!AC90)</f>
        <v>0</v>
      </c>
      <c r="AD90" s="1">
        <f t="shared" si="9"/>
        <v>0</v>
      </c>
      <c r="AE90" s="1">
        <v>218.6</v>
      </c>
      <c r="AF90" s="1">
        <f t="shared" si="10"/>
        <v>0</v>
      </c>
    </row>
    <row r="91" spans="1:32" ht="21.95" customHeight="1">
      <c r="A91" s="140">
        <v>300354</v>
      </c>
      <c r="B91" s="135" t="s">
        <v>87</v>
      </c>
      <c r="C91" s="226" t="s">
        <v>106</v>
      </c>
      <c r="D91" s="226" t="s">
        <v>101</v>
      </c>
      <c r="E91" s="139" t="s">
        <v>66</v>
      </c>
      <c r="F91" s="13"/>
      <c r="G91" s="133">
        <f>+SUM('12:25'!G91)</f>
        <v>0</v>
      </c>
      <c r="H91" s="133">
        <f>+SUM('12:25'!H91)</f>
        <v>0</v>
      </c>
      <c r="I91" s="133">
        <f>+SUM('12:25'!I91)</f>
        <v>0</v>
      </c>
      <c r="J91" s="133">
        <f>+SUM('12:25'!J91)</f>
        <v>0</v>
      </c>
      <c r="K91" s="137">
        <f t="shared" si="11"/>
        <v>0</v>
      </c>
      <c r="L91" s="137">
        <f t="shared" si="12"/>
        <v>0</v>
      </c>
      <c r="M91" s="137">
        <v>515.9</v>
      </c>
      <c r="N91" s="137">
        <f>+M91*1000/(80*1*110*60)*T91</f>
        <v>6.8395833333333336</v>
      </c>
      <c r="O91" s="133">
        <f>+SUM('12:25'!O91)</f>
        <v>0</v>
      </c>
      <c r="P91" s="137">
        <f t="shared" si="13"/>
        <v>0</v>
      </c>
      <c r="Q91" s="133">
        <f>+SUM('12:25'!Q91)</f>
        <v>0</v>
      </c>
      <c r="R91" s="19">
        <f t="shared" si="14"/>
        <v>0</v>
      </c>
      <c r="S91" s="137">
        <f t="shared" si="15"/>
        <v>0</v>
      </c>
      <c r="T91" s="20">
        <v>7</v>
      </c>
      <c r="U91" s="133">
        <f>+SUM('12:25'!U91)</f>
        <v>0</v>
      </c>
      <c r="V91" s="143" t="str">
        <f t="array" ref="V91">IF(ISERROR(L91/K91),"",L91/K91)</f>
        <v/>
      </c>
      <c r="W91" s="133">
        <f>+SUM('12:25'!W91)</f>
        <v>0</v>
      </c>
      <c r="X91" s="133">
        <f>+SUM('12:25'!X91)</f>
        <v>0</v>
      </c>
      <c r="Y91" s="133">
        <f>+SUM('12:25'!Y91)</f>
        <v>0</v>
      </c>
      <c r="Z91" s="133">
        <f>+SUM('12:25'!Z91)</f>
        <v>0</v>
      </c>
      <c r="AA91" s="133">
        <f>+SUM('12:25'!AA91)</f>
        <v>0</v>
      </c>
      <c r="AB91" s="133">
        <f>+SUM('12:25'!AB91)</f>
        <v>0</v>
      </c>
      <c r="AC91" s="133">
        <f>+SUM('12:25'!AC91)</f>
        <v>0</v>
      </c>
      <c r="AD91" s="1">
        <f t="shared" si="9"/>
        <v>0</v>
      </c>
      <c r="AE91" s="1">
        <v>218.6</v>
      </c>
      <c r="AF91" s="1">
        <f t="shared" si="10"/>
        <v>0</v>
      </c>
    </row>
    <row r="92" spans="1:32" ht="21.95" customHeight="1">
      <c r="A92" s="140">
        <v>300250</v>
      </c>
      <c r="B92" s="135" t="s">
        <v>87</v>
      </c>
      <c r="C92" s="226" t="s">
        <v>107</v>
      </c>
      <c r="D92" s="226" t="s">
        <v>101</v>
      </c>
      <c r="E92" s="139" t="s">
        <v>35</v>
      </c>
      <c r="F92" s="13"/>
      <c r="G92" s="133">
        <f>+SUM('12:25'!G92)</f>
        <v>0</v>
      </c>
      <c r="H92" s="133">
        <f>+SUM('12:25'!H92)</f>
        <v>0</v>
      </c>
      <c r="I92" s="133">
        <f>+SUM('12:25'!I92)</f>
        <v>0</v>
      </c>
      <c r="J92" s="133">
        <f>+SUM('12:25'!J92)</f>
        <v>0</v>
      </c>
      <c r="K92" s="137">
        <f t="shared" si="11"/>
        <v>0</v>
      </c>
      <c r="L92" s="137">
        <f t="shared" si="12"/>
        <v>0</v>
      </c>
      <c r="M92" s="137">
        <v>412.5</v>
      </c>
      <c r="N92" s="137">
        <f>+M92*1000/(84*1*110*60)*T92</f>
        <v>5.2083333333333339</v>
      </c>
      <c r="O92" s="133">
        <f>+SUM('12:25'!O92)</f>
        <v>0</v>
      </c>
      <c r="P92" s="137">
        <f t="shared" si="13"/>
        <v>0</v>
      </c>
      <c r="Q92" s="133">
        <f>+SUM('12:25'!Q92)</f>
        <v>0</v>
      </c>
      <c r="R92" s="19">
        <f t="shared" si="14"/>
        <v>0</v>
      </c>
      <c r="S92" s="137">
        <f t="shared" si="15"/>
        <v>0</v>
      </c>
      <c r="T92" s="20">
        <v>7</v>
      </c>
      <c r="U92" s="133">
        <f>+SUM('12:25'!U92)</f>
        <v>0</v>
      </c>
      <c r="V92" s="143" t="str">
        <f t="array" ref="V92">IF(ISERROR(L92/K92),"",L92/K92)</f>
        <v/>
      </c>
      <c r="W92" s="133">
        <f>+SUM('12:25'!W92)</f>
        <v>0</v>
      </c>
      <c r="X92" s="133">
        <f>+SUM('12:25'!X92)</f>
        <v>0</v>
      </c>
      <c r="Y92" s="133">
        <f>+SUM('12:25'!Y92)</f>
        <v>0</v>
      </c>
      <c r="Z92" s="133">
        <f>+SUM('12:25'!Z92)</f>
        <v>0</v>
      </c>
      <c r="AA92" s="133">
        <f>+SUM('12:25'!AA92)</f>
        <v>0</v>
      </c>
      <c r="AB92" s="133">
        <f>+SUM('12:25'!AB92)</f>
        <v>0</v>
      </c>
      <c r="AC92" s="133">
        <f>+SUM('12:25'!AC92)</f>
        <v>0</v>
      </c>
      <c r="AD92" s="1">
        <f t="shared" si="9"/>
        <v>0</v>
      </c>
      <c r="AE92" s="1"/>
      <c r="AF92" s="1">
        <f t="shared" si="10"/>
        <v>0</v>
      </c>
    </row>
    <row r="93" spans="1:32" ht="21.95" customHeight="1">
      <c r="A93" s="140">
        <v>300251</v>
      </c>
      <c r="B93" s="135" t="s">
        <v>87</v>
      </c>
      <c r="C93" s="226" t="s">
        <v>107</v>
      </c>
      <c r="D93" s="226" t="s">
        <v>101</v>
      </c>
      <c r="E93" s="139" t="s">
        <v>105</v>
      </c>
      <c r="F93" s="13"/>
      <c r="G93" s="133">
        <f>+SUM('12:25'!G93)</f>
        <v>0</v>
      </c>
      <c r="H93" s="133">
        <f>+SUM('12:25'!H93)</f>
        <v>0</v>
      </c>
      <c r="I93" s="133">
        <f>+SUM('12:25'!I93)</f>
        <v>0</v>
      </c>
      <c r="J93" s="133">
        <f>+SUM('12:25'!J93)</f>
        <v>0</v>
      </c>
      <c r="K93" s="137">
        <f t="shared" si="11"/>
        <v>0</v>
      </c>
      <c r="L93" s="137">
        <f t="shared" si="12"/>
        <v>0</v>
      </c>
      <c r="M93" s="137">
        <v>412.5</v>
      </c>
      <c r="N93" s="137">
        <f>+M93*1000/(84*1*110*60)*T93</f>
        <v>5.2083333333333339</v>
      </c>
      <c r="O93" s="133">
        <f>+SUM('12:25'!O93)</f>
        <v>0</v>
      </c>
      <c r="P93" s="137">
        <f t="shared" si="13"/>
        <v>0</v>
      </c>
      <c r="Q93" s="133">
        <f>+SUM('12:25'!Q93)</f>
        <v>0</v>
      </c>
      <c r="R93" s="19">
        <f t="shared" si="14"/>
        <v>0</v>
      </c>
      <c r="S93" s="137">
        <f t="shared" si="15"/>
        <v>0</v>
      </c>
      <c r="T93" s="20">
        <v>7</v>
      </c>
      <c r="U93" s="133">
        <f>+SUM('12:25'!U93)</f>
        <v>0</v>
      </c>
      <c r="V93" s="143" t="str">
        <f t="array" ref="V93">IF(ISERROR(L93/K93),"",L93/K93)</f>
        <v/>
      </c>
      <c r="W93" s="133">
        <f>+SUM('12:25'!W93)</f>
        <v>0</v>
      </c>
      <c r="X93" s="133">
        <f>+SUM('12:25'!X93)</f>
        <v>0</v>
      </c>
      <c r="Y93" s="133">
        <f>+SUM('12:25'!Y93)</f>
        <v>0</v>
      </c>
      <c r="Z93" s="133">
        <f>+SUM('12:25'!Z93)</f>
        <v>0</v>
      </c>
      <c r="AA93" s="133">
        <f>+SUM('12:25'!AA93)</f>
        <v>0</v>
      </c>
      <c r="AB93" s="133">
        <f>+SUM('12:25'!AB93)</f>
        <v>0</v>
      </c>
      <c r="AC93" s="133">
        <f>+SUM('12:25'!AC93)</f>
        <v>0</v>
      </c>
      <c r="AD93" s="1">
        <f t="shared" si="9"/>
        <v>0</v>
      </c>
      <c r="AE93" s="1"/>
      <c r="AF93" s="1">
        <f t="shared" si="10"/>
        <v>0</v>
      </c>
    </row>
    <row r="94" spans="1:32" ht="21.95" customHeight="1">
      <c r="A94" s="140">
        <v>300254</v>
      </c>
      <c r="B94" s="135" t="s">
        <v>87</v>
      </c>
      <c r="C94" s="226" t="s">
        <v>107</v>
      </c>
      <c r="D94" s="226" t="s">
        <v>101</v>
      </c>
      <c r="E94" s="139" t="s">
        <v>41</v>
      </c>
      <c r="F94" s="13"/>
      <c r="G94" s="133">
        <f>+SUM('12:25'!G94)</f>
        <v>0</v>
      </c>
      <c r="H94" s="133">
        <f>+SUM('12:25'!H94)</f>
        <v>0</v>
      </c>
      <c r="I94" s="133">
        <f>+SUM('12:25'!I94)</f>
        <v>0</v>
      </c>
      <c r="J94" s="133">
        <f>+SUM('12:25'!J94)</f>
        <v>0</v>
      </c>
      <c r="K94" s="137">
        <f t="shared" si="11"/>
        <v>0</v>
      </c>
      <c r="L94" s="137">
        <f t="shared" si="12"/>
        <v>0</v>
      </c>
      <c r="M94" s="137">
        <v>412.5</v>
      </c>
      <c r="N94" s="137">
        <f>+M94*1000/(84*1*110*60)*T94</f>
        <v>5.2083333333333339</v>
      </c>
      <c r="O94" s="133">
        <f>+SUM('12:25'!O94)</f>
        <v>0</v>
      </c>
      <c r="P94" s="137">
        <f t="shared" si="13"/>
        <v>0</v>
      </c>
      <c r="Q94" s="133">
        <f>+SUM('12:25'!Q94)</f>
        <v>0</v>
      </c>
      <c r="R94" s="19">
        <f t="shared" si="14"/>
        <v>0</v>
      </c>
      <c r="S94" s="137">
        <f t="shared" si="15"/>
        <v>0</v>
      </c>
      <c r="T94" s="20">
        <v>7</v>
      </c>
      <c r="U94" s="133">
        <f>+SUM('12:25'!U94)</f>
        <v>0</v>
      </c>
      <c r="V94" s="143" t="str">
        <f t="array" ref="V94">IF(ISERROR(L94/K94),"",L94/K94)</f>
        <v/>
      </c>
      <c r="W94" s="133">
        <f>+SUM('12:25'!W94)</f>
        <v>0</v>
      </c>
      <c r="X94" s="133">
        <f>+SUM('12:25'!X94)</f>
        <v>0</v>
      </c>
      <c r="Y94" s="133">
        <f>+SUM('12:25'!Y94)</f>
        <v>0</v>
      </c>
      <c r="Z94" s="133">
        <f>+SUM('12:25'!Z94)</f>
        <v>0</v>
      </c>
      <c r="AA94" s="133">
        <f>+SUM('12:25'!AA94)</f>
        <v>0</v>
      </c>
      <c r="AB94" s="133">
        <f>+SUM('12:25'!AB94)</f>
        <v>0</v>
      </c>
      <c r="AC94" s="133">
        <f>+SUM('12:25'!AC94)</f>
        <v>0</v>
      </c>
      <c r="AD94" s="1">
        <f t="shared" si="9"/>
        <v>0</v>
      </c>
      <c r="AE94" s="1"/>
      <c r="AF94" s="1">
        <f t="shared" si="10"/>
        <v>0</v>
      </c>
    </row>
    <row r="95" spans="1:32" ht="21.95" customHeight="1">
      <c r="A95" s="140">
        <v>300253</v>
      </c>
      <c r="B95" s="135" t="s">
        <v>87</v>
      </c>
      <c r="C95" s="226" t="s">
        <v>107</v>
      </c>
      <c r="D95" s="226" t="s">
        <v>101</v>
      </c>
      <c r="E95" s="139" t="s">
        <v>66</v>
      </c>
      <c r="F95" s="13"/>
      <c r="G95" s="133">
        <f>+SUM('12:25'!G95)</f>
        <v>0</v>
      </c>
      <c r="H95" s="133">
        <f>+SUM('12:25'!H95)</f>
        <v>0</v>
      </c>
      <c r="I95" s="133">
        <f>+SUM('12:25'!I95)</f>
        <v>0</v>
      </c>
      <c r="J95" s="133">
        <f>+SUM('12:25'!J95)</f>
        <v>0</v>
      </c>
      <c r="K95" s="137">
        <f t="shared" si="11"/>
        <v>0</v>
      </c>
      <c r="L95" s="137">
        <f t="shared" si="12"/>
        <v>0</v>
      </c>
      <c r="M95" s="137">
        <v>412.5</v>
      </c>
      <c r="N95" s="137">
        <f>+M95*1000/(84*1*110*60)*T95</f>
        <v>5.2083333333333339</v>
      </c>
      <c r="O95" s="133">
        <f>+SUM('12:25'!O95)</f>
        <v>0</v>
      </c>
      <c r="P95" s="137">
        <f t="shared" si="13"/>
        <v>0</v>
      </c>
      <c r="Q95" s="133">
        <f>+SUM('12:25'!Q95)</f>
        <v>0</v>
      </c>
      <c r="R95" s="19">
        <f t="shared" si="14"/>
        <v>0</v>
      </c>
      <c r="S95" s="137">
        <f t="shared" si="15"/>
        <v>0</v>
      </c>
      <c r="T95" s="20">
        <v>7</v>
      </c>
      <c r="U95" s="133">
        <f>+SUM('12:25'!U95)</f>
        <v>0</v>
      </c>
      <c r="V95" s="143" t="str">
        <f t="array" ref="V95">IF(ISERROR(L95/K95),"",L95/K95)</f>
        <v/>
      </c>
      <c r="W95" s="133">
        <f>+SUM('12:25'!W95)</f>
        <v>0</v>
      </c>
      <c r="X95" s="133">
        <f>+SUM('12:25'!X95)</f>
        <v>0</v>
      </c>
      <c r="Y95" s="133">
        <f>+SUM('12:25'!Y95)</f>
        <v>0</v>
      </c>
      <c r="Z95" s="133">
        <f>+SUM('12:25'!Z95)</f>
        <v>0</v>
      </c>
      <c r="AA95" s="133">
        <f>+SUM('12:25'!AA95)</f>
        <v>0</v>
      </c>
      <c r="AB95" s="133">
        <f>+SUM('12:25'!AB95)</f>
        <v>0</v>
      </c>
      <c r="AC95" s="133">
        <f>+SUM('12:25'!AC95)</f>
        <v>0</v>
      </c>
      <c r="AD95" s="1">
        <f t="shared" si="9"/>
        <v>0</v>
      </c>
      <c r="AE95" s="1"/>
      <c r="AF95" s="1">
        <f t="shared" si="10"/>
        <v>0</v>
      </c>
    </row>
    <row r="96" spans="1:32" ht="23.25" customHeight="1">
      <c r="A96" s="140">
        <v>300255</v>
      </c>
      <c r="B96" s="135" t="s">
        <v>87</v>
      </c>
      <c r="C96" s="226" t="s">
        <v>107</v>
      </c>
      <c r="D96" s="226" t="s">
        <v>101</v>
      </c>
      <c r="E96" s="139" t="s">
        <v>108</v>
      </c>
      <c r="F96" s="13"/>
      <c r="G96" s="133">
        <f>+SUM('12:25'!G96)</f>
        <v>0</v>
      </c>
      <c r="H96" s="133">
        <f>+SUM('12:25'!H96)</f>
        <v>0</v>
      </c>
      <c r="I96" s="133">
        <f>+SUM('12:25'!I96)</f>
        <v>0</v>
      </c>
      <c r="J96" s="133">
        <f>+SUM('12:25'!J96)</f>
        <v>0</v>
      </c>
      <c r="K96" s="137">
        <f t="shared" si="11"/>
        <v>0</v>
      </c>
      <c r="L96" s="137">
        <f t="shared" si="12"/>
        <v>0</v>
      </c>
      <c r="M96" s="137">
        <v>412.5</v>
      </c>
      <c r="N96" s="137">
        <f>+M96*1000/(84*1*110*60)*T96</f>
        <v>5.2083333333333339</v>
      </c>
      <c r="O96" s="133">
        <f>+SUM('12:25'!O96)</f>
        <v>0</v>
      </c>
      <c r="P96" s="137">
        <f t="shared" si="13"/>
        <v>0</v>
      </c>
      <c r="Q96" s="133">
        <f>+SUM('12:25'!Q96)</f>
        <v>0</v>
      </c>
      <c r="R96" s="19">
        <f t="shared" si="14"/>
        <v>0</v>
      </c>
      <c r="S96" s="137">
        <f t="shared" si="15"/>
        <v>0</v>
      </c>
      <c r="T96" s="20">
        <v>7</v>
      </c>
      <c r="U96" s="133">
        <f>+SUM('12:25'!U96)</f>
        <v>0</v>
      </c>
      <c r="V96" s="143" t="str">
        <f t="array" ref="V96">IF(ISERROR(L96/K96),"",L96/K96)</f>
        <v/>
      </c>
      <c r="W96" s="133">
        <f>+SUM('12:25'!W96)</f>
        <v>0</v>
      </c>
      <c r="X96" s="133">
        <f>+SUM('12:25'!X96)</f>
        <v>0</v>
      </c>
      <c r="Y96" s="133">
        <f>+SUM('12:25'!Y96)</f>
        <v>0</v>
      </c>
      <c r="Z96" s="133">
        <f>+SUM('12:25'!Z96)</f>
        <v>0</v>
      </c>
      <c r="AA96" s="133">
        <f>+SUM('12:25'!AA96)</f>
        <v>0</v>
      </c>
      <c r="AB96" s="133">
        <f>+SUM('12:25'!AB96)</f>
        <v>0</v>
      </c>
      <c r="AC96" s="133">
        <f>+SUM('12:25'!AC96)</f>
        <v>0</v>
      </c>
      <c r="AD96" s="1">
        <f t="shared" si="9"/>
        <v>0</v>
      </c>
      <c r="AE96" s="1"/>
      <c r="AF96" s="1">
        <f t="shared" si="10"/>
        <v>0</v>
      </c>
    </row>
    <row r="97" spans="1:32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33">
        <f>+SUM('12:25'!G97)</f>
        <v>0</v>
      </c>
      <c r="H97" s="133">
        <f>+SUM('12:25'!H97)</f>
        <v>0</v>
      </c>
      <c r="I97" s="133">
        <f>+SUM('12:25'!I97)</f>
        <v>0</v>
      </c>
      <c r="J97" s="133">
        <f>+SUM('12:25'!J97)</f>
        <v>0</v>
      </c>
      <c r="K97" s="28">
        <f t="shared" si="11"/>
        <v>0</v>
      </c>
      <c r="L97" s="28">
        <f t="shared" si="12"/>
        <v>0</v>
      </c>
      <c r="M97" s="28">
        <v>523</v>
      </c>
      <c r="N97" s="28">
        <f>+M97*1000/(98*1*80*60)*T97</f>
        <v>7.7827380952380958</v>
      </c>
      <c r="O97" s="133">
        <f>+SUM('12:25'!O97)</f>
        <v>0</v>
      </c>
      <c r="P97" s="28">
        <f t="shared" si="13"/>
        <v>0</v>
      </c>
      <c r="Q97" s="133">
        <f>+SUM('12:25'!Q97)</f>
        <v>0</v>
      </c>
      <c r="R97" s="29">
        <f t="shared" si="14"/>
        <v>0</v>
      </c>
      <c r="S97" s="28">
        <f t="shared" si="15"/>
        <v>0</v>
      </c>
      <c r="T97" s="30">
        <v>7</v>
      </c>
      <c r="U97" s="133">
        <f>+SUM('12:25'!U97)</f>
        <v>0</v>
      </c>
      <c r="V97" s="112" t="str">
        <f t="array" ref="V97">IF(ISERROR(L97/K97),"",L97/K97)</f>
        <v/>
      </c>
      <c r="W97" s="133">
        <f>+SUM('12:25'!W97)</f>
        <v>0</v>
      </c>
      <c r="X97" s="133">
        <f>+SUM('12:25'!X97)</f>
        <v>0</v>
      </c>
      <c r="Y97" s="133">
        <f>+SUM('12:25'!Y97)</f>
        <v>0</v>
      </c>
      <c r="Z97" s="133">
        <f>+SUM('12:25'!Z97)</f>
        <v>0</v>
      </c>
      <c r="AA97" s="133">
        <f>+SUM('12:25'!AA97)</f>
        <v>0</v>
      </c>
      <c r="AB97" s="133">
        <f>+SUM('12:25'!AB97)</f>
        <v>0</v>
      </c>
      <c r="AC97" s="133">
        <f>+SUM('12:25'!AC97)</f>
        <v>0</v>
      </c>
      <c r="AD97" s="1">
        <f t="shared" si="9"/>
        <v>0</v>
      </c>
      <c r="AE97" s="187">
        <v>186.75</v>
      </c>
      <c r="AF97" s="1">
        <f t="shared" si="10"/>
        <v>0</v>
      </c>
    </row>
    <row r="98" spans="1:32" ht="21.95" customHeight="1">
      <c r="A98" s="140">
        <v>300088</v>
      </c>
      <c r="B98" s="135" t="s">
        <v>87</v>
      </c>
      <c r="C98" s="226" t="s">
        <v>110</v>
      </c>
      <c r="D98" s="226" t="s">
        <v>111</v>
      </c>
      <c r="E98" s="139" t="s">
        <v>39</v>
      </c>
      <c r="F98" s="13"/>
      <c r="G98" s="133">
        <f>+SUM('12:25'!G98)</f>
        <v>0</v>
      </c>
      <c r="H98" s="133">
        <f>+SUM('12:25'!H98)</f>
        <v>0</v>
      </c>
      <c r="I98" s="133">
        <f>+SUM('12:25'!I98)</f>
        <v>0</v>
      </c>
      <c r="J98" s="133">
        <f>+SUM('12:25'!J98)</f>
        <v>0</v>
      </c>
      <c r="K98" s="137">
        <f t="shared" si="11"/>
        <v>0</v>
      </c>
      <c r="L98" s="137">
        <f t="shared" si="12"/>
        <v>0</v>
      </c>
      <c r="M98" s="137">
        <v>617.79999999999995</v>
      </c>
      <c r="N98" s="137">
        <f>+M98*1000/(123*1*80*60)*T98</f>
        <v>3.1392276422764223</v>
      </c>
      <c r="O98" s="133">
        <f>+SUM('12:25'!O98)</f>
        <v>0</v>
      </c>
      <c r="P98" s="137">
        <f t="shared" si="13"/>
        <v>0</v>
      </c>
      <c r="Q98" s="133">
        <f>+SUM('12:25'!Q98)</f>
        <v>0</v>
      </c>
      <c r="R98" s="19">
        <f t="shared" si="14"/>
        <v>0</v>
      </c>
      <c r="S98" s="137">
        <f t="shared" si="15"/>
        <v>0</v>
      </c>
      <c r="T98" s="20">
        <v>3</v>
      </c>
      <c r="U98" s="133">
        <f>+SUM('12:25'!U98)</f>
        <v>0</v>
      </c>
      <c r="V98" s="143" t="str">
        <f t="array" ref="V98">IF(ISERROR(L98/K98),"",L98/K98)</f>
        <v/>
      </c>
      <c r="W98" s="133">
        <f>+SUM('12:25'!W98)</f>
        <v>0</v>
      </c>
      <c r="X98" s="133">
        <f>+SUM('12:25'!X98)</f>
        <v>0</v>
      </c>
      <c r="Y98" s="133">
        <f>+SUM('12:25'!Y98)</f>
        <v>0</v>
      </c>
      <c r="Z98" s="133">
        <f>+SUM('12:25'!Z98)</f>
        <v>0</v>
      </c>
      <c r="AA98" s="133">
        <f>+SUM('12:25'!AA98)</f>
        <v>0</v>
      </c>
      <c r="AB98" s="133">
        <f>+SUM('12:25'!AB98)</f>
        <v>0</v>
      </c>
      <c r="AC98" s="133">
        <f>+SUM('12:25'!AC98)</f>
        <v>0</v>
      </c>
      <c r="AD98" s="1">
        <f t="shared" si="9"/>
        <v>0</v>
      </c>
      <c r="AE98" s="1">
        <v>142.18</v>
      </c>
      <c r="AF98" s="1">
        <f t="shared" si="10"/>
        <v>0</v>
      </c>
    </row>
    <row r="99" spans="1:32" ht="21.95" customHeight="1">
      <c r="A99" s="140">
        <v>300089</v>
      </c>
      <c r="B99" s="135" t="s">
        <v>87</v>
      </c>
      <c r="C99" s="226" t="s">
        <v>110</v>
      </c>
      <c r="D99" s="226" t="s">
        <v>111</v>
      </c>
      <c r="E99" s="139" t="s">
        <v>42</v>
      </c>
      <c r="F99" s="13"/>
      <c r="G99" s="133">
        <f>+SUM('12:25'!G99)</f>
        <v>0</v>
      </c>
      <c r="H99" s="133">
        <f>+SUM('12:25'!H99)</f>
        <v>0</v>
      </c>
      <c r="I99" s="133">
        <f>+SUM('12:25'!I99)</f>
        <v>0</v>
      </c>
      <c r="J99" s="133">
        <f>+SUM('12:25'!J99)</f>
        <v>0</v>
      </c>
      <c r="K99" s="137">
        <f t="shared" si="11"/>
        <v>0</v>
      </c>
      <c r="L99" s="137">
        <f t="shared" si="12"/>
        <v>0</v>
      </c>
      <c r="M99" s="137">
        <v>618.6</v>
      </c>
      <c r="N99" s="137">
        <f>+M99*1000/(124*1*80*60)*T99</f>
        <v>3.117943548387097</v>
      </c>
      <c r="O99" s="133">
        <f>+SUM('12:25'!O99)</f>
        <v>0</v>
      </c>
      <c r="P99" s="137">
        <f t="shared" si="13"/>
        <v>0</v>
      </c>
      <c r="Q99" s="133">
        <f>+SUM('12:25'!Q99)</f>
        <v>0</v>
      </c>
      <c r="R99" s="19">
        <f t="shared" si="14"/>
        <v>0</v>
      </c>
      <c r="S99" s="137">
        <f t="shared" si="15"/>
        <v>0</v>
      </c>
      <c r="T99" s="20">
        <v>3</v>
      </c>
      <c r="U99" s="133">
        <f>+SUM('12:25'!U99)</f>
        <v>0</v>
      </c>
      <c r="V99" s="143" t="str">
        <f t="array" ref="V99">IF(ISERROR(L99/K99),"",L99/K99)</f>
        <v/>
      </c>
      <c r="W99" s="133">
        <f>+SUM('12:25'!W99)</f>
        <v>0</v>
      </c>
      <c r="X99" s="133">
        <f>+SUM('12:25'!X99)</f>
        <v>0</v>
      </c>
      <c r="Y99" s="133">
        <f>+SUM('12:25'!Y99)</f>
        <v>0</v>
      </c>
      <c r="Z99" s="133">
        <f>+SUM('12:25'!Z99)</f>
        <v>0</v>
      </c>
      <c r="AA99" s="133">
        <f>+SUM('12:25'!AA99)</f>
        <v>0</v>
      </c>
      <c r="AB99" s="133">
        <f>+SUM('12:25'!AB99)</f>
        <v>0</v>
      </c>
      <c r="AC99" s="133">
        <f>+SUM('12:25'!AC99)</f>
        <v>0</v>
      </c>
      <c r="AD99" s="1">
        <f t="shared" si="9"/>
        <v>0</v>
      </c>
      <c r="AE99" s="1">
        <v>141.03</v>
      </c>
      <c r="AF99" s="1">
        <f t="shared" si="10"/>
        <v>0</v>
      </c>
    </row>
    <row r="100" spans="1:32" ht="22.5" customHeight="1">
      <c r="A100" s="140">
        <v>300128</v>
      </c>
      <c r="B100" s="135" t="s">
        <v>87</v>
      </c>
      <c r="C100" s="226" t="s">
        <v>112</v>
      </c>
      <c r="D100" s="226" t="s">
        <v>113</v>
      </c>
      <c r="E100" s="139" t="s">
        <v>35</v>
      </c>
      <c r="F100" s="13"/>
      <c r="G100" s="133">
        <f>+SUM('12:25'!G100)</f>
        <v>0</v>
      </c>
      <c r="H100" s="133">
        <f>+SUM('12:25'!H100)</f>
        <v>0</v>
      </c>
      <c r="I100" s="133">
        <f>+SUM('12:25'!I100)</f>
        <v>0</v>
      </c>
      <c r="J100" s="133">
        <f>+SUM('12:25'!J100)</f>
        <v>0</v>
      </c>
      <c r="K100" s="137">
        <f t="shared" si="11"/>
        <v>0</v>
      </c>
      <c r="L100" s="137">
        <f t="shared" si="12"/>
        <v>0</v>
      </c>
      <c r="M100" s="137">
        <v>621.29999999999995</v>
      </c>
      <c r="N100" s="137">
        <f t="shared" ref="N100:N105" si="16">+M100*1000/(130.5*1*80*60)*T100</f>
        <v>3.9674329501915708</v>
      </c>
      <c r="O100" s="133">
        <f>+SUM('12:25'!O100)</f>
        <v>0</v>
      </c>
      <c r="P100" s="137">
        <f t="shared" si="13"/>
        <v>0</v>
      </c>
      <c r="Q100" s="133">
        <f>+SUM('12:25'!Q100)</f>
        <v>0</v>
      </c>
      <c r="R100" s="19">
        <f t="shared" si="14"/>
        <v>0</v>
      </c>
      <c r="S100" s="137">
        <f t="shared" si="15"/>
        <v>0</v>
      </c>
      <c r="T100" s="20">
        <v>4</v>
      </c>
      <c r="U100" s="133">
        <f>+SUM('12:25'!U100)</f>
        <v>0</v>
      </c>
      <c r="V100" s="143" t="str">
        <f t="array" ref="V100">IF(ISERROR(L100/K100),"",L100/K100)</f>
        <v/>
      </c>
      <c r="W100" s="133">
        <f>+SUM('12:25'!W100)</f>
        <v>0</v>
      </c>
      <c r="X100" s="133">
        <f>+SUM('12:25'!X100)</f>
        <v>0</v>
      </c>
      <c r="Y100" s="133">
        <f>+SUM('12:25'!Y100)</f>
        <v>0</v>
      </c>
      <c r="Z100" s="133">
        <f>+SUM('12:25'!Z100)</f>
        <v>0</v>
      </c>
      <c r="AA100" s="133">
        <f>+SUM('12:25'!AA100)</f>
        <v>0</v>
      </c>
      <c r="AB100" s="133">
        <f>+SUM('12:25'!AB100)</f>
        <v>0</v>
      </c>
      <c r="AC100" s="133">
        <f>+SUM('12:25'!AC100)</f>
        <v>0</v>
      </c>
      <c r="AD100" s="1">
        <f t="shared" si="9"/>
        <v>0</v>
      </c>
      <c r="AE100" s="1">
        <v>129.54</v>
      </c>
      <c r="AF100" s="1">
        <f t="shared" si="10"/>
        <v>0</v>
      </c>
    </row>
    <row r="101" spans="1:32" ht="21.95" customHeight="1">
      <c r="A101" s="140">
        <v>300129</v>
      </c>
      <c r="B101" s="135" t="s">
        <v>87</v>
      </c>
      <c r="C101" s="226" t="s">
        <v>112</v>
      </c>
      <c r="D101" s="226" t="s">
        <v>113</v>
      </c>
      <c r="E101" s="139" t="s">
        <v>41</v>
      </c>
      <c r="F101" s="13"/>
      <c r="G101" s="133">
        <f>+SUM('12:25'!G101)</f>
        <v>0</v>
      </c>
      <c r="H101" s="133">
        <f>+SUM('12:25'!H101)</f>
        <v>0</v>
      </c>
      <c r="I101" s="133">
        <f>+SUM('12:25'!I101)</f>
        <v>0</v>
      </c>
      <c r="J101" s="133">
        <f>+SUM('12:25'!J101)</f>
        <v>0</v>
      </c>
      <c r="K101" s="137">
        <f t="shared" si="11"/>
        <v>0</v>
      </c>
      <c r="L101" s="137">
        <f t="shared" si="12"/>
        <v>0</v>
      </c>
      <c r="M101" s="137">
        <v>621.29999999999995</v>
      </c>
      <c r="N101" s="137">
        <f t="shared" si="16"/>
        <v>3.9674329501915708</v>
      </c>
      <c r="O101" s="133">
        <f>+SUM('12:25'!O101)</f>
        <v>0</v>
      </c>
      <c r="P101" s="137">
        <f t="shared" si="13"/>
        <v>0</v>
      </c>
      <c r="Q101" s="133">
        <f>+SUM('12:25'!Q101)</f>
        <v>0</v>
      </c>
      <c r="R101" s="19">
        <f t="shared" si="14"/>
        <v>0</v>
      </c>
      <c r="S101" s="137">
        <f t="shared" si="15"/>
        <v>0</v>
      </c>
      <c r="T101" s="20">
        <v>4</v>
      </c>
      <c r="U101" s="133">
        <f>+SUM('12:25'!U101)</f>
        <v>0</v>
      </c>
      <c r="V101" s="143" t="str">
        <f t="array" ref="V101">IF(ISERROR(L101/K101),"",L101/K101)</f>
        <v/>
      </c>
      <c r="W101" s="133">
        <f>+SUM('12:25'!W101)</f>
        <v>0</v>
      </c>
      <c r="X101" s="133">
        <f>+SUM('12:25'!X101)</f>
        <v>0</v>
      </c>
      <c r="Y101" s="133">
        <f>+SUM('12:25'!Y101)</f>
        <v>0</v>
      </c>
      <c r="Z101" s="133">
        <f>+SUM('12:25'!Z101)</f>
        <v>0</v>
      </c>
      <c r="AA101" s="133">
        <f>+SUM('12:25'!AA101)</f>
        <v>0</v>
      </c>
      <c r="AB101" s="133">
        <f>+SUM('12:25'!AB101)</f>
        <v>0</v>
      </c>
      <c r="AC101" s="133">
        <f>+SUM('12:25'!AC101)</f>
        <v>0</v>
      </c>
      <c r="AD101" s="1">
        <f t="shared" si="9"/>
        <v>0</v>
      </c>
      <c r="AE101" s="1">
        <v>129.54</v>
      </c>
      <c r="AF101" s="1">
        <f t="shared" si="10"/>
        <v>0</v>
      </c>
    </row>
    <row r="102" spans="1:32" ht="21.95" customHeight="1">
      <c r="A102" s="140">
        <v>300130</v>
      </c>
      <c r="B102" s="135" t="s">
        <v>87</v>
      </c>
      <c r="C102" s="226" t="s">
        <v>112</v>
      </c>
      <c r="D102" s="226" t="s">
        <v>113</v>
      </c>
      <c r="E102" s="139" t="s">
        <v>37</v>
      </c>
      <c r="F102" s="13"/>
      <c r="G102" s="133">
        <f>+SUM('12:25'!G102)</f>
        <v>0</v>
      </c>
      <c r="H102" s="133">
        <f>+SUM('12:25'!H102)</f>
        <v>0</v>
      </c>
      <c r="I102" s="133">
        <f>+SUM('12:25'!I102)</f>
        <v>0</v>
      </c>
      <c r="J102" s="133">
        <f>+SUM('12:25'!J102)</f>
        <v>0</v>
      </c>
      <c r="K102" s="137">
        <f t="shared" si="11"/>
        <v>0</v>
      </c>
      <c r="L102" s="137">
        <f t="shared" si="12"/>
        <v>0</v>
      </c>
      <c r="M102" s="137">
        <v>621.29999999999995</v>
      </c>
      <c r="N102" s="137">
        <f t="shared" si="16"/>
        <v>3.9674329501915708</v>
      </c>
      <c r="O102" s="133">
        <f>+SUM('12:25'!O102)</f>
        <v>0</v>
      </c>
      <c r="P102" s="137">
        <f t="shared" si="13"/>
        <v>0</v>
      </c>
      <c r="Q102" s="133">
        <f>+SUM('12:25'!Q102)</f>
        <v>0</v>
      </c>
      <c r="R102" s="19">
        <f t="shared" si="14"/>
        <v>0</v>
      </c>
      <c r="S102" s="137">
        <f t="shared" si="15"/>
        <v>0</v>
      </c>
      <c r="T102" s="20">
        <v>4</v>
      </c>
      <c r="U102" s="133">
        <f>+SUM('12:25'!U102)</f>
        <v>0</v>
      </c>
      <c r="V102" s="143" t="str">
        <f t="array" ref="V102">IF(ISERROR(L102/K102),"",L102/K102)</f>
        <v/>
      </c>
      <c r="W102" s="133">
        <f>+SUM('12:25'!W102)</f>
        <v>0</v>
      </c>
      <c r="X102" s="133">
        <f>+SUM('12:25'!X102)</f>
        <v>0</v>
      </c>
      <c r="Y102" s="133">
        <f>+SUM('12:25'!Y102)</f>
        <v>0</v>
      </c>
      <c r="Z102" s="133">
        <f>+SUM('12:25'!Z102)</f>
        <v>0</v>
      </c>
      <c r="AA102" s="133">
        <f>+SUM('12:25'!AA102)</f>
        <v>0</v>
      </c>
      <c r="AB102" s="133">
        <f>+SUM('12:25'!AB102)</f>
        <v>0</v>
      </c>
      <c r="AC102" s="133">
        <f>+SUM('12:25'!AC102)</f>
        <v>0</v>
      </c>
      <c r="AD102" s="1">
        <f t="shared" si="9"/>
        <v>0</v>
      </c>
      <c r="AE102" s="1">
        <v>129.54</v>
      </c>
      <c r="AF102" s="1">
        <f t="shared" si="10"/>
        <v>0</v>
      </c>
    </row>
    <row r="103" spans="1:32" ht="21.95" customHeight="1">
      <c r="A103" s="140">
        <v>300423</v>
      </c>
      <c r="B103" s="135" t="s">
        <v>300</v>
      </c>
      <c r="C103" s="237" t="s">
        <v>296</v>
      </c>
      <c r="D103" s="238"/>
      <c r="E103" s="139" t="s">
        <v>297</v>
      </c>
      <c r="F103" s="13"/>
      <c r="G103" s="133">
        <f>+SUM('12:25'!G103)</f>
        <v>5</v>
      </c>
      <c r="H103" s="133">
        <f>+SUM('12:25'!H103)</f>
        <v>0</v>
      </c>
      <c r="I103" s="133">
        <f>+SUM('12:25'!I103)</f>
        <v>5</v>
      </c>
      <c r="J103" s="133">
        <f>+SUM('12:25'!J103)</f>
        <v>0</v>
      </c>
      <c r="K103" s="137">
        <f t="shared" si="11"/>
        <v>2620.5</v>
      </c>
      <c r="L103" s="137">
        <f t="shared" si="12"/>
        <v>2620.5</v>
      </c>
      <c r="M103" s="137">
        <v>524.1</v>
      </c>
      <c r="N103" s="137">
        <f t="shared" si="16"/>
        <v>3.3467432950191571</v>
      </c>
      <c r="O103" s="133">
        <f>+SUM('12:25'!O103)</f>
        <v>0.5</v>
      </c>
      <c r="P103" s="137">
        <f t="shared" si="13"/>
        <v>18.733716475095786</v>
      </c>
      <c r="Q103" s="133">
        <f>+SUM('12:25'!Q103)</f>
        <v>3</v>
      </c>
      <c r="R103" s="19">
        <f t="shared" si="14"/>
        <v>12</v>
      </c>
      <c r="S103" s="137">
        <f t="shared" si="15"/>
        <v>-6.7337164750957861</v>
      </c>
      <c r="T103" s="20">
        <v>4</v>
      </c>
      <c r="U103" s="133">
        <f>+SUM('12:25'!U103)</f>
        <v>4</v>
      </c>
      <c r="V103" s="143"/>
      <c r="W103" s="133">
        <f>+SUM('12:25'!W103)</f>
        <v>0</v>
      </c>
      <c r="X103" s="133">
        <f>+SUM('12:25'!X103)</f>
        <v>0</v>
      </c>
      <c r="Y103" s="133">
        <f>+SUM('12:25'!Y103)</f>
        <v>0</v>
      </c>
      <c r="Z103" s="133">
        <f>+SUM('12:25'!Z103)</f>
        <v>0</v>
      </c>
      <c r="AA103" s="133">
        <f>+SUM('12:25'!AA103)</f>
        <v>0</v>
      </c>
      <c r="AB103" s="133">
        <f>+SUM('12:25'!AB103)</f>
        <v>0</v>
      </c>
      <c r="AC103" s="133">
        <f>+SUM('12:25'!AC103)</f>
        <v>0</v>
      </c>
      <c r="AD103" s="1">
        <f t="shared" si="9"/>
        <v>2.6204999999999998</v>
      </c>
      <c r="AE103" s="1">
        <v>186.75</v>
      </c>
      <c r="AF103" s="1">
        <f t="shared" si="10"/>
        <v>489.37837499999995</v>
      </c>
    </row>
    <row r="104" spans="1:32" ht="21.95" customHeight="1">
      <c r="A104" s="140">
        <v>300424</v>
      </c>
      <c r="B104" s="135" t="s">
        <v>300</v>
      </c>
      <c r="C104" s="237" t="s">
        <v>296</v>
      </c>
      <c r="D104" s="238"/>
      <c r="E104" s="139" t="s">
        <v>298</v>
      </c>
      <c r="F104" s="13"/>
      <c r="G104" s="133">
        <f>+SUM('12:25'!G104)</f>
        <v>2</v>
      </c>
      <c r="H104" s="133">
        <f>+SUM('12:25'!H104)</f>
        <v>0</v>
      </c>
      <c r="I104" s="133">
        <f>+SUM('12:25'!I104)</f>
        <v>2</v>
      </c>
      <c r="J104" s="133">
        <f>+SUM('12:25'!J104)</f>
        <v>0</v>
      </c>
      <c r="K104" s="137">
        <f t="shared" si="11"/>
        <v>1048.2</v>
      </c>
      <c r="L104" s="137">
        <f t="shared" si="12"/>
        <v>1048.2</v>
      </c>
      <c r="M104" s="137">
        <v>524.1</v>
      </c>
      <c r="N104" s="137">
        <f t="shared" si="16"/>
        <v>3.3467432950191571</v>
      </c>
      <c r="O104" s="133">
        <f>+SUM('12:25'!O104)</f>
        <v>0.5</v>
      </c>
      <c r="P104" s="137">
        <f t="shared" si="13"/>
        <v>8.6934865900383151</v>
      </c>
      <c r="Q104" s="133">
        <f>+SUM('12:25'!Q104)</f>
        <v>3</v>
      </c>
      <c r="R104" s="19">
        <f t="shared" si="14"/>
        <v>12</v>
      </c>
      <c r="S104" s="137">
        <f t="shared" si="15"/>
        <v>3.3065134099616849</v>
      </c>
      <c r="T104" s="20">
        <v>4</v>
      </c>
      <c r="U104" s="133">
        <f>+SUM('12:25'!U104)</f>
        <v>4</v>
      </c>
      <c r="V104" s="143"/>
      <c r="W104" s="133">
        <f>+SUM('12:25'!W104)</f>
        <v>0</v>
      </c>
      <c r="X104" s="133">
        <f>+SUM('12:25'!X104)</f>
        <v>0</v>
      </c>
      <c r="Y104" s="133">
        <f>+SUM('12:25'!Y104)</f>
        <v>0</v>
      </c>
      <c r="Z104" s="133">
        <f>+SUM('12:25'!Z104)</f>
        <v>0</v>
      </c>
      <c r="AA104" s="133">
        <f>+SUM('12:25'!AA104)</f>
        <v>0</v>
      </c>
      <c r="AB104" s="133">
        <f>+SUM('12:25'!AB104)</f>
        <v>0</v>
      </c>
      <c r="AC104" s="133">
        <f>+SUM('12:25'!AC104)</f>
        <v>0</v>
      </c>
      <c r="AD104" s="1">
        <f t="shared" si="9"/>
        <v>1.0482</v>
      </c>
      <c r="AE104" s="1">
        <v>186.75</v>
      </c>
      <c r="AF104" s="1">
        <f t="shared" si="10"/>
        <v>195.75135</v>
      </c>
    </row>
    <row r="105" spans="1:32" ht="21.95" customHeight="1">
      <c r="A105" s="140">
        <v>300425</v>
      </c>
      <c r="B105" s="135" t="s">
        <v>300</v>
      </c>
      <c r="C105" s="237" t="s">
        <v>296</v>
      </c>
      <c r="D105" s="238"/>
      <c r="E105" s="139" t="s">
        <v>299</v>
      </c>
      <c r="F105" s="13"/>
      <c r="G105" s="133">
        <f>+SUM('12:25'!G105)</f>
        <v>0</v>
      </c>
      <c r="H105" s="133">
        <f>+SUM('12:25'!H105)</f>
        <v>0</v>
      </c>
      <c r="I105" s="133">
        <f>+SUM('12:25'!I105)</f>
        <v>0</v>
      </c>
      <c r="J105" s="133">
        <f>+SUM('12:25'!J105)</f>
        <v>0</v>
      </c>
      <c r="K105" s="137">
        <f t="shared" si="11"/>
        <v>0</v>
      </c>
      <c r="L105" s="137">
        <f t="shared" si="12"/>
        <v>0</v>
      </c>
      <c r="M105" s="137">
        <v>524.1</v>
      </c>
      <c r="N105" s="137">
        <f t="shared" si="16"/>
        <v>3.3467432950191571</v>
      </c>
      <c r="O105" s="133">
        <f>+SUM('12:25'!O105)</f>
        <v>0</v>
      </c>
      <c r="P105" s="137">
        <f t="shared" si="13"/>
        <v>0</v>
      </c>
      <c r="Q105" s="133">
        <f>+SUM('12:25'!Q105)</f>
        <v>0</v>
      </c>
      <c r="R105" s="19">
        <f t="shared" si="14"/>
        <v>0</v>
      </c>
      <c r="S105" s="137">
        <f t="shared" si="15"/>
        <v>0</v>
      </c>
      <c r="T105" s="20">
        <v>4</v>
      </c>
      <c r="U105" s="133">
        <f>+SUM('12:25'!U105)</f>
        <v>0</v>
      </c>
      <c r="V105" s="143"/>
      <c r="W105" s="133">
        <f>+SUM('12:25'!W105)</f>
        <v>0</v>
      </c>
      <c r="X105" s="133">
        <f>+SUM('12:25'!X105)</f>
        <v>0</v>
      </c>
      <c r="Y105" s="133">
        <f>+SUM('12:25'!Y105)</f>
        <v>0</v>
      </c>
      <c r="Z105" s="133">
        <f>+SUM('12:25'!Z105)</f>
        <v>0</v>
      </c>
      <c r="AA105" s="133">
        <f>+SUM('12:25'!AA105)</f>
        <v>0</v>
      </c>
      <c r="AB105" s="133">
        <f>+SUM('12:25'!AB105)</f>
        <v>0</v>
      </c>
      <c r="AC105" s="133">
        <f>+SUM('12:25'!AC105)</f>
        <v>0</v>
      </c>
      <c r="AD105" s="1">
        <f t="shared" si="9"/>
        <v>0</v>
      </c>
      <c r="AE105" s="1">
        <v>186.75</v>
      </c>
      <c r="AF105" s="1">
        <f t="shared" si="10"/>
        <v>0</v>
      </c>
    </row>
    <row r="106" spans="1:32" s="3" customFormat="1" ht="21.95" customHeight="1">
      <c r="A106" s="23">
        <v>300390</v>
      </c>
      <c r="B106" s="135" t="s">
        <v>300</v>
      </c>
      <c r="C106" s="240" t="s">
        <v>114</v>
      </c>
      <c r="D106" s="241"/>
      <c r="E106" s="24" t="s">
        <v>115</v>
      </c>
      <c r="F106" s="25"/>
      <c r="G106" s="133">
        <f>+SUM('12:25'!G106)</f>
        <v>2</v>
      </c>
      <c r="H106" s="133">
        <f>+SUM('12:25'!H106)</f>
        <v>0</v>
      </c>
      <c r="I106" s="133">
        <f>+SUM('12:25'!I106)</f>
        <v>2</v>
      </c>
      <c r="J106" s="133">
        <f>+SUM('12:25'!J106)</f>
        <v>0</v>
      </c>
      <c r="K106" s="28">
        <f t="shared" si="11"/>
        <v>834.8</v>
      </c>
      <c r="L106" s="28">
        <f t="shared" si="12"/>
        <v>834.8</v>
      </c>
      <c r="M106" s="28">
        <v>417.4</v>
      </c>
      <c r="N106" s="28">
        <f>+M106*1000/(87*1*80*60)*T106</f>
        <v>3.9980842911877397</v>
      </c>
      <c r="O106" s="133">
        <f>+SUM('12:25'!O106)</f>
        <v>0.5</v>
      </c>
      <c r="P106" s="28">
        <f t="shared" si="13"/>
        <v>10.496168582375478</v>
      </c>
      <c r="Q106" s="133">
        <f>+SUM('12:25'!Q106)</f>
        <v>1.5</v>
      </c>
      <c r="R106" s="29">
        <f t="shared" si="14"/>
        <v>7.5</v>
      </c>
      <c r="S106" s="28">
        <f t="shared" si="15"/>
        <v>-2.9961685823754785</v>
      </c>
      <c r="T106" s="30">
        <v>4</v>
      </c>
      <c r="U106" s="133">
        <f>+SUM('12:25'!U106)</f>
        <v>5</v>
      </c>
      <c r="V106" s="112">
        <f t="array" ref="V106">IF(ISERROR(L106/K106),"",L106/K106)</f>
        <v>1</v>
      </c>
      <c r="W106" s="133">
        <f>+SUM('12:25'!W106)</f>
        <v>0</v>
      </c>
      <c r="X106" s="133">
        <f>+SUM('12:25'!X106)</f>
        <v>0</v>
      </c>
      <c r="Y106" s="133">
        <f>+SUM('12:25'!Y106)</f>
        <v>0</v>
      </c>
      <c r="Z106" s="133">
        <f>+SUM('12:25'!Z106)</f>
        <v>0</v>
      </c>
      <c r="AA106" s="133">
        <f>+SUM('12:25'!AA106)</f>
        <v>0</v>
      </c>
      <c r="AB106" s="133">
        <f>+SUM('12:25'!AB106)</f>
        <v>0</v>
      </c>
      <c r="AC106" s="133">
        <f>+SUM('12:25'!AC106)</f>
        <v>0</v>
      </c>
      <c r="AD106" s="1">
        <f t="shared" si="9"/>
        <v>0.83479999999999999</v>
      </c>
      <c r="AE106" s="186">
        <v>297.58</v>
      </c>
      <c r="AF106" s="1">
        <f t="shared" si="10"/>
        <v>248.41978399999999</v>
      </c>
    </row>
    <row r="107" spans="1:32" s="3" customFormat="1" ht="21.95" customHeight="1">
      <c r="A107" s="23">
        <v>300391</v>
      </c>
      <c r="B107" s="135" t="s">
        <v>300</v>
      </c>
      <c r="C107" s="240" t="s">
        <v>114</v>
      </c>
      <c r="D107" s="241"/>
      <c r="E107" s="24" t="s">
        <v>117</v>
      </c>
      <c r="F107" s="25"/>
      <c r="G107" s="133">
        <f>+SUM('12:25'!G107)</f>
        <v>2</v>
      </c>
      <c r="H107" s="133">
        <f>+SUM('12:25'!H107)</f>
        <v>0</v>
      </c>
      <c r="I107" s="133">
        <f>+SUM('12:25'!I107)</f>
        <v>2</v>
      </c>
      <c r="J107" s="133">
        <f>+SUM('12:25'!J107)</f>
        <v>0</v>
      </c>
      <c r="K107" s="28">
        <f t="shared" si="11"/>
        <v>834.8</v>
      </c>
      <c r="L107" s="28">
        <f t="shared" si="12"/>
        <v>834.8</v>
      </c>
      <c r="M107" s="28">
        <v>417.4</v>
      </c>
      <c r="N107" s="28">
        <f>+M107*1000/(87*1*80*60)*T107</f>
        <v>3.9980842911877397</v>
      </c>
      <c r="O107" s="133">
        <f>+SUM('12:25'!O107)</f>
        <v>0.5</v>
      </c>
      <c r="P107" s="28">
        <f t="shared" si="13"/>
        <v>10.496168582375478</v>
      </c>
      <c r="Q107" s="133">
        <f>+SUM('12:25'!Q107)</f>
        <v>1.5</v>
      </c>
      <c r="R107" s="29">
        <f t="shared" si="14"/>
        <v>7.5</v>
      </c>
      <c r="S107" s="28">
        <f t="shared" si="15"/>
        <v>-2.9961685823754785</v>
      </c>
      <c r="T107" s="30">
        <v>4</v>
      </c>
      <c r="U107" s="133">
        <f>+SUM('12:25'!U107)</f>
        <v>5</v>
      </c>
      <c r="V107" s="112">
        <f t="array" ref="V107">IF(ISERROR(L107/K107),"",L107/K107)</f>
        <v>1</v>
      </c>
      <c r="W107" s="133">
        <f>+SUM('12:25'!W107)</f>
        <v>0</v>
      </c>
      <c r="X107" s="133">
        <f>+SUM('12:25'!X107)</f>
        <v>0</v>
      </c>
      <c r="Y107" s="133">
        <f>+SUM('12:25'!Y107)</f>
        <v>0</v>
      </c>
      <c r="Z107" s="133">
        <f>+SUM('12:25'!Z107)</f>
        <v>0</v>
      </c>
      <c r="AA107" s="133">
        <f>+SUM('12:25'!AA107)</f>
        <v>0</v>
      </c>
      <c r="AB107" s="133">
        <f>+SUM('12:25'!AB107)</f>
        <v>0</v>
      </c>
      <c r="AC107" s="133">
        <f>+SUM('12:25'!AC107)</f>
        <v>0</v>
      </c>
      <c r="AD107" s="1">
        <f t="shared" si="9"/>
        <v>0.83479999999999999</v>
      </c>
      <c r="AE107" s="186">
        <v>297.58</v>
      </c>
      <c r="AF107" s="1">
        <f t="shared" si="10"/>
        <v>248.41978399999999</v>
      </c>
    </row>
    <row r="108" spans="1:32" s="3" customFormat="1" ht="21.95" customHeight="1">
      <c r="A108" s="23">
        <v>300431</v>
      </c>
      <c r="B108" s="135" t="s">
        <v>300</v>
      </c>
      <c r="C108" s="240" t="s">
        <v>305</v>
      </c>
      <c r="D108" s="241"/>
      <c r="E108" s="24" t="s">
        <v>306</v>
      </c>
      <c r="F108" s="25"/>
      <c r="G108" s="133">
        <f>+SUM('12:25'!G108)</f>
        <v>0</v>
      </c>
      <c r="H108" s="133">
        <f>+SUM('12:25'!H108)</f>
        <v>0</v>
      </c>
      <c r="I108" s="133">
        <f>+SUM('12:25'!I108)</f>
        <v>0</v>
      </c>
      <c r="J108" s="133">
        <f>+SUM('12:25'!J108)</f>
        <v>0</v>
      </c>
      <c r="K108" s="28">
        <f t="shared" si="11"/>
        <v>0</v>
      </c>
      <c r="L108" s="28">
        <f t="shared" si="12"/>
        <v>0</v>
      </c>
      <c r="M108" s="28">
        <v>628.79999999999995</v>
      </c>
      <c r="N108" s="28">
        <f>+M108*1000/(87*1*80*60)*T108</f>
        <v>6.0229885057471266</v>
      </c>
      <c r="O108" s="133">
        <f>+SUM('12:25'!O108)</f>
        <v>0</v>
      </c>
      <c r="P108" s="28">
        <f t="shared" si="13"/>
        <v>0</v>
      </c>
      <c r="Q108" s="133">
        <f>+SUM('12:25'!Q108)</f>
        <v>0</v>
      </c>
      <c r="R108" s="29">
        <f t="shared" si="14"/>
        <v>0</v>
      </c>
      <c r="S108" s="28">
        <f t="shared" si="15"/>
        <v>0</v>
      </c>
      <c r="T108" s="30">
        <v>4</v>
      </c>
      <c r="U108" s="133">
        <f>+SUM('12:25'!U108)</f>
        <v>0</v>
      </c>
      <c r="V108" s="112"/>
      <c r="W108" s="133">
        <f>+SUM('12:25'!W108)</f>
        <v>0</v>
      </c>
      <c r="X108" s="133">
        <f>+SUM('12:25'!X108)</f>
        <v>0</v>
      </c>
      <c r="Y108" s="133">
        <f>+SUM('12:25'!Y108)</f>
        <v>0</v>
      </c>
      <c r="Z108" s="133">
        <f>+SUM('12:25'!Z108)</f>
        <v>0</v>
      </c>
      <c r="AA108" s="133">
        <f>+SUM('12:25'!AA108)</f>
        <v>0</v>
      </c>
      <c r="AB108" s="133">
        <f>+SUM('12:25'!AB108)</f>
        <v>0</v>
      </c>
      <c r="AC108" s="133">
        <f>+SUM('12:25'!AC108)</f>
        <v>0</v>
      </c>
      <c r="AD108" s="1">
        <f t="shared" si="9"/>
        <v>0</v>
      </c>
      <c r="AE108" s="186">
        <v>193.66</v>
      </c>
      <c r="AF108" s="1">
        <f t="shared" si="10"/>
        <v>0</v>
      </c>
    </row>
    <row r="109" spans="1:32" s="3" customFormat="1" ht="21.95" customHeight="1">
      <c r="A109" s="23">
        <v>300432</v>
      </c>
      <c r="B109" s="135" t="s">
        <v>300</v>
      </c>
      <c r="C109" s="240" t="s">
        <v>305</v>
      </c>
      <c r="D109" s="241"/>
      <c r="E109" s="24" t="s">
        <v>307</v>
      </c>
      <c r="F109" s="25"/>
      <c r="G109" s="133">
        <f>+SUM('12:25'!G109)</f>
        <v>0</v>
      </c>
      <c r="H109" s="133">
        <f>+SUM('12:25'!H109)</f>
        <v>0</v>
      </c>
      <c r="I109" s="133">
        <f>+SUM('12:25'!I109)</f>
        <v>0</v>
      </c>
      <c r="J109" s="133">
        <f>+SUM('12:25'!J109)</f>
        <v>0</v>
      </c>
      <c r="K109" s="28">
        <f t="shared" si="11"/>
        <v>0</v>
      </c>
      <c r="L109" s="28">
        <f t="shared" si="12"/>
        <v>0</v>
      </c>
      <c r="M109" s="28">
        <v>628.79999999999995</v>
      </c>
      <c r="N109" s="28">
        <f>+M109*1000/(87*1*80*60)*T109</f>
        <v>6.0229885057471266</v>
      </c>
      <c r="O109" s="133">
        <f>+SUM('12:25'!O109)</f>
        <v>0</v>
      </c>
      <c r="P109" s="28">
        <f t="shared" si="13"/>
        <v>0</v>
      </c>
      <c r="Q109" s="133">
        <f>+SUM('12:25'!Q109)</f>
        <v>0</v>
      </c>
      <c r="R109" s="29">
        <f t="shared" si="14"/>
        <v>0</v>
      </c>
      <c r="S109" s="28">
        <f t="shared" si="15"/>
        <v>0</v>
      </c>
      <c r="T109" s="30">
        <v>4</v>
      </c>
      <c r="U109" s="133">
        <f>+SUM('12:25'!U109)</f>
        <v>0</v>
      </c>
      <c r="V109" s="112"/>
      <c r="W109" s="133">
        <f>+SUM('12:25'!W109)</f>
        <v>0</v>
      </c>
      <c r="X109" s="133">
        <f>+SUM('12:25'!X109)</f>
        <v>0</v>
      </c>
      <c r="Y109" s="133">
        <f>+SUM('12:25'!Y109)</f>
        <v>0</v>
      </c>
      <c r="Z109" s="133">
        <f>+SUM('12:25'!Z109)</f>
        <v>0</v>
      </c>
      <c r="AA109" s="133">
        <f>+SUM('12:25'!AA109)</f>
        <v>0</v>
      </c>
      <c r="AB109" s="133">
        <f>+SUM('12:25'!AB109)</f>
        <v>0</v>
      </c>
      <c r="AC109" s="133">
        <f>+SUM('12:25'!AC109)</f>
        <v>0</v>
      </c>
      <c r="AD109" s="1">
        <f t="shared" si="9"/>
        <v>0</v>
      </c>
      <c r="AE109" s="186">
        <v>193.66</v>
      </c>
      <c r="AF109" s="1">
        <f t="shared" si="10"/>
        <v>0</v>
      </c>
    </row>
    <row r="110" spans="1:32" s="3" customFormat="1" ht="21.95" customHeight="1">
      <c r="A110" s="23">
        <v>300433</v>
      </c>
      <c r="B110" s="135" t="s">
        <v>300</v>
      </c>
      <c r="C110" s="240" t="s">
        <v>305</v>
      </c>
      <c r="D110" s="241"/>
      <c r="E110" s="125" t="s">
        <v>308</v>
      </c>
      <c r="F110" s="25"/>
      <c r="G110" s="133">
        <f>+SUM('12:25'!G110)</f>
        <v>1.25</v>
      </c>
      <c r="H110" s="133">
        <f>+SUM('12:25'!H110)</f>
        <v>0.25</v>
      </c>
      <c r="I110" s="133">
        <f>+SUM('12:25'!I110)</f>
        <v>1.25</v>
      </c>
      <c r="J110" s="133">
        <f>+SUM('12:25'!J110)</f>
        <v>0</v>
      </c>
      <c r="K110" s="28">
        <f t="shared" si="11"/>
        <v>786</v>
      </c>
      <c r="L110" s="28">
        <f t="shared" si="12"/>
        <v>786</v>
      </c>
      <c r="M110" s="28">
        <v>628.79999999999995</v>
      </c>
      <c r="N110" s="28">
        <f>+M110*1000/(87*1*80*60)*T110</f>
        <v>6.0229885057471266</v>
      </c>
      <c r="O110" s="133">
        <f>+SUM('12:25'!O110)</f>
        <v>0</v>
      </c>
      <c r="P110" s="28">
        <f t="shared" si="13"/>
        <v>7.5287356321839081</v>
      </c>
      <c r="Q110" s="133">
        <f>+SUM('12:25'!Q110)</f>
        <v>1.5</v>
      </c>
      <c r="R110" s="29">
        <f t="shared" si="14"/>
        <v>7.5</v>
      </c>
      <c r="S110" s="28">
        <f t="shared" si="15"/>
        <v>-2.8735632183908066E-2</v>
      </c>
      <c r="T110" s="30">
        <v>4</v>
      </c>
      <c r="U110" s="133">
        <f>+SUM('12:25'!U110)</f>
        <v>5</v>
      </c>
      <c r="V110" s="112"/>
      <c r="W110" s="133">
        <f>+SUM('12:25'!W110)</f>
        <v>0</v>
      </c>
      <c r="X110" s="133">
        <f>+SUM('12:25'!X110)</f>
        <v>0</v>
      </c>
      <c r="Y110" s="133">
        <f>+SUM('12:25'!Y110)</f>
        <v>0</v>
      </c>
      <c r="Z110" s="133">
        <f>+SUM('12:25'!Z110)</f>
        <v>0</v>
      </c>
      <c r="AA110" s="133">
        <f>+SUM('12:25'!AA110)</f>
        <v>0</v>
      </c>
      <c r="AB110" s="133">
        <f>+SUM('12:25'!AB110)</f>
        <v>0</v>
      </c>
      <c r="AC110" s="133">
        <f>+SUM('12:25'!AC110)</f>
        <v>0</v>
      </c>
      <c r="AD110" s="1">
        <f t="shared" si="9"/>
        <v>0.78600000000000003</v>
      </c>
      <c r="AE110" s="186">
        <v>193.66</v>
      </c>
      <c r="AF110" s="1">
        <f t="shared" si="10"/>
        <v>152.21675999999999</v>
      </c>
    </row>
    <row r="111" spans="1:32" ht="21.95" customHeight="1">
      <c r="A111" s="140">
        <v>300074</v>
      </c>
      <c r="B111" s="135" t="s">
        <v>118</v>
      </c>
      <c r="C111" s="226" t="s">
        <v>119</v>
      </c>
      <c r="D111" s="226" t="s">
        <v>120</v>
      </c>
      <c r="E111" s="139" t="s">
        <v>54</v>
      </c>
      <c r="F111" s="13"/>
      <c r="G111" s="133">
        <f>+SUM('12:25'!G111)</f>
        <v>0</v>
      </c>
      <c r="H111" s="133">
        <f>+SUM('12:25'!H111)</f>
        <v>0</v>
      </c>
      <c r="I111" s="133">
        <f>+SUM('12:25'!I111)</f>
        <v>0</v>
      </c>
      <c r="J111" s="133">
        <f>+SUM('12:25'!J111)</f>
        <v>0</v>
      </c>
      <c r="K111" s="137">
        <f t="shared" si="11"/>
        <v>0</v>
      </c>
      <c r="L111" s="137">
        <f t="shared" si="12"/>
        <v>0</v>
      </c>
      <c r="M111" s="137">
        <v>290.8</v>
      </c>
      <c r="N111" s="137">
        <f>+M111*1000/(88*4*13*60)*T111</f>
        <v>3.1774475524475525</v>
      </c>
      <c r="O111" s="133">
        <f>+SUM('12:25'!O111)</f>
        <v>0</v>
      </c>
      <c r="P111" s="137">
        <f t="shared" si="13"/>
        <v>0</v>
      </c>
      <c r="Q111" s="133">
        <f>+SUM('12:25'!Q111)</f>
        <v>0</v>
      </c>
      <c r="R111" s="19">
        <f t="shared" si="14"/>
        <v>0</v>
      </c>
      <c r="S111" s="137">
        <f t="shared" si="15"/>
        <v>0</v>
      </c>
      <c r="T111" s="20">
        <v>3</v>
      </c>
      <c r="U111" s="133">
        <f>+SUM('12:25'!U111)</f>
        <v>0</v>
      </c>
      <c r="V111" s="143" t="str">
        <f t="array" ref="V111">IF(ISERROR(L111/K111),"",L111/K111)</f>
        <v/>
      </c>
      <c r="W111" s="133">
        <f>+SUM('12:25'!W111)</f>
        <v>0</v>
      </c>
      <c r="X111" s="133">
        <f>+SUM('12:25'!X111)</f>
        <v>0</v>
      </c>
      <c r="Y111" s="133">
        <f>+SUM('12:25'!Y111)</f>
        <v>0</v>
      </c>
      <c r="Z111" s="133">
        <f>+SUM('12:25'!Z111)</f>
        <v>0</v>
      </c>
      <c r="AA111" s="133">
        <f>+SUM('12:25'!AA111)</f>
        <v>0</v>
      </c>
      <c r="AB111" s="133">
        <f>+SUM('12:25'!AB111)</f>
        <v>0</v>
      </c>
      <c r="AC111" s="133">
        <f>+SUM('12:25'!AC111)</f>
        <v>0</v>
      </c>
      <c r="AD111" s="1">
        <f t="shared" si="9"/>
        <v>0</v>
      </c>
      <c r="AE111" s="1">
        <v>264.97000000000003</v>
      </c>
      <c r="AF111" s="1">
        <f t="shared" si="10"/>
        <v>0</v>
      </c>
    </row>
    <row r="112" spans="1:32" ht="21.95" customHeight="1">
      <c r="A112" s="140">
        <v>300076</v>
      </c>
      <c r="B112" s="135" t="s">
        <v>118</v>
      </c>
      <c r="C112" s="226" t="s">
        <v>119</v>
      </c>
      <c r="D112" s="226" t="s">
        <v>120</v>
      </c>
      <c r="E112" s="139" t="s">
        <v>35</v>
      </c>
      <c r="F112" s="13"/>
      <c r="G112" s="133">
        <f>+SUM('12:25'!G112)</f>
        <v>0</v>
      </c>
      <c r="H112" s="133">
        <f>+SUM('12:25'!H112)</f>
        <v>0</v>
      </c>
      <c r="I112" s="133">
        <f>+SUM('12:25'!I112)</f>
        <v>0</v>
      </c>
      <c r="J112" s="133">
        <f>+SUM('12:25'!J112)</f>
        <v>0</v>
      </c>
      <c r="K112" s="137">
        <f t="shared" si="11"/>
        <v>0</v>
      </c>
      <c r="L112" s="137">
        <f t="shared" si="12"/>
        <v>0</v>
      </c>
      <c r="M112" s="137">
        <v>303.10000000000002</v>
      </c>
      <c r="N112" s="137">
        <f>+M112*1000/(88*4*12*60)*T112</f>
        <v>4.7837752525252526</v>
      </c>
      <c r="O112" s="133">
        <f>+SUM('12:25'!O112)</f>
        <v>0</v>
      </c>
      <c r="P112" s="137">
        <f t="shared" si="13"/>
        <v>0</v>
      </c>
      <c r="Q112" s="133">
        <f>+SUM('12:25'!Q112)</f>
        <v>0</v>
      </c>
      <c r="R112" s="19">
        <f t="shared" si="14"/>
        <v>0</v>
      </c>
      <c r="S112" s="137">
        <f t="shared" si="15"/>
        <v>0</v>
      </c>
      <c r="T112" s="20">
        <v>4</v>
      </c>
      <c r="U112" s="133">
        <f>+SUM('12:25'!U112)</f>
        <v>0</v>
      </c>
      <c r="V112" s="143" t="str">
        <f t="array" ref="V112">IF(ISERROR(L112/K112),"",L112/K112)</f>
        <v/>
      </c>
      <c r="W112" s="133">
        <f>+SUM('12:25'!W112)</f>
        <v>0</v>
      </c>
      <c r="X112" s="133">
        <f>+SUM('12:25'!X112)</f>
        <v>0</v>
      </c>
      <c r="Y112" s="133">
        <f>+SUM('12:25'!Y112)</f>
        <v>0</v>
      </c>
      <c r="Z112" s="133">
        <f>+SUM('12:25'!Z112)</f>
        <v>0</v>
      </c>
      <c r="AA112" s="133">
        <f>+SUM('12:25'!AA112)</f>
        <v>0</v>
      </c>
      <c r="AB112" s="133">
        <f>+SUM('12:25'!AB112)</f>
        <v>0</v>
      </c>
      <c r="AC112" s="133">
        <f>+SUM('12:25'!AC112)</f>
        <v>0</v>
      </c>
      <c r="AD112" s="1">
        <f t="shared" si="9"/>
        <v>0</v>
      </c>
      <c r="AE112" s="1">
        <v>415.94</v>
      </c>
      <c r="AF112" s="1">
        <f t="shared" si="10"/>
        <v>0</v>
      </c>
    </row>
    <row r="113" spans="1:32" ht="21.95" customHeight="1">
      <c r="A113" s="140">
        <v>300096</v>
      </c>
      <c r="B113" s="135" t="s">
        <v>118</v>
      </c>
      <c r="C113" s="226" t="s">
        <v>121</v>
      </c>
      <c r="D113" s="226" t="s">
        <v>122</v>
      </c>
      <c r="E113" s="139" t="s">
        <v>37</v>
      </c>
      <c r="F113" s="13"/>
      <c r="G113" s="133">
        <f>+SUM('12:25'!G113)</f>
        <v>8</v>
      </c>
      <c r="H113" s="133">
        <f>+SUM('12:25'!H113)</f>
        <v>0</v>
      </c>
      <c r="I113" s="133">
        <f>+SUM('12:25'!I113)</f>
        <v>7.8</v>
      </c>
      <c r="J113" s="133">
        <f>+SUM('12:25'!J113)</f>
        <v>60</v>
      </c>
      <c r="K113" s="137">
        <f t="shared" si="11"/>
        <v>3841.04</v>
      </c>
      <c r="L113" s="137">
        <f t="shared" si="12"/>
        <v>3745.0139999999997</v>
      </c>
      <c r="M113" s="137">
        <v>480.13</v>
      </c>
      <c r="N113" s="137">
        <f>+M113*1000/(126.5*4*12*60)*T113</f>
        <v>2.6357597716293371</v>
      </c>
      <c r="O113" s="133">
        <f>+SUM('12:25'!O113)</f>
        <v>0</v>
      </c>
      <c r="P113" s="137">
        <f t="shared" si="13"/>
        <v>20.55892621870883</v>
      </c>
      <c r="Q113" s="133">
        <f>+SUM('12:25'!Q113)</f>
        <v>9</v>
      </c>
      <c r="R113" s="19">
        <f t="shared" si="14"/>
        <v>18</v>
      </c>
      <c r="S113" s="137">
        <f t="shared" si="15"/>
        <v>-2.5589262187088302</v>
      </c>
      <c r="T113" s="20">
        <v>2</v>
      </c>
      <c r="U113" s="133">
        <f>+SUM('12:25'!U113)</f>
        <v>2</v>
      </c>
      <c r="V113" s="143">
        <f t="array" ref="V113">IF(ISERROR(L113/K113),"",L113/K113)</f>
        <v>0.97499999999999998</v>
      </c>
      <c r="W113" s="133">
        <f>+SUM('12:25'!W113)</f>
        <v>0</v>
      </c>
      <c r="X113" s="133">
        <f>+SUM('12:25'!X113)</f>
        <v>0</v>
      </c>
      <c r="Y113" s="133">
        <f>+SUM('12:25'!Y113)</f>
        <v>0</v>
      </c>
      <c r="Z113" s="133">
        <f>+SUM('12:25'!Z113)</f>
        <v>0</v>
      </c>
      <c r="AA113" s="133">
        <f>+SUM('12:25'!AA113)</f>
        <v>2</v>
      </c>
      <c r="AB113" s="133">
        <f>+SUM('12:25'!AB113)</f>
        <v>0</v>
      </c>
      <c r="AC113" s="133">
        <f>+SUM('12:25'!AC113)</f>
        <v>0</v>
      </c>
      <c r="AD113" s="1">
        <f t="shared" si="9"/>
        <v>3.7450139999999998</v>
      </c>
      <c r="AE113" s="1">
        <v>150.81</v>
      </c>
      <c r="AF113" s="1">
        <f t="shared" si="10"/>
        <v>564.78556133999996</v>
      </c>
    </row>
    <row r="114" spans="1:32" ht="21.95" customHeight="1">
      <c r="A114" s="140"/>
      <c r="B114" s="135" t="s">
        <v>118</v>
      </c>
      <c r="C114" s="226" t="s">
        <v>121</v>
      </c>
      <c r="D114" s="226" t="s">
        <v>122</v>
      </c>
      <c r="E114" s="139" t="s">
        <v>35</v>
      </c>
      <c r="F114" s="13"/>
      <c r="G114" s="133">
        <f>+SUM('12:25'!G114)</f>
        <v>0</v>
      </c>
      <c r="H114" s="133">
        <f>+SUM('12:25'!H114)</f>
        <v>0</v>
      </c>
      <c r="I114" s="133">
        <f>+SUM('12:25'!I114)</f>
        <v>0</v>
      </c>
      <c r="J114" s="133">
        <f>+SUM('12:25'!J114)</f>
        <v>0</v>
      </c>
      <c r="K114" s="137">
        <f t="shared" si="11"/>
        <v>0</v>
      </c>
      <c r="L114" s="137">
        <f t="shared" si="12"/>
        <v>0</v>
      </c>
      <c r="M114" s="137">
        <v>480.13</v>
      </c>
      <c r="N114" s="137">
        <f>+M114*1000/(126.5*4*12*60)*T114</f>
        <v>2.6357597716293371</v>
      </c>
      <c r="O114" s="133">
        <f>+SUM('12:25'!O114)</f>
        <v>0</v>
      </c>
      <c r="P114" s="137">
        <f t="shared" si="13"/>
        <v>0</v>
      </c>
      <c r="Q114" s="133">
        <f>+SUM('12:25'!Q114)</f>
        <v>0</v>
      </c>
      <c r="R114" s="19">
        <f t="shared" si="14"/>
        <v>0</v>
      </c>
      <c r="S114" s="137">
        <f t="shared" si="15"/>
        <v>0</v>
      </c>
      <c r="T114" s="20">
        <v>2</v>
      </c>
      <c r="U114" s="133">
        <f>+SUM('12:25'!U114)</f>
        <v>0</v>
      </c>
      <c r="V114" s="143" t="str">
        <f t="array" ref="V114">IF(ISERROR(L114/K114),"",L114/K114)</f>
        <v/>
      </c>
      <c r="W114" s="133">
        <f>+SUM('12:25'!W114)</f>
        <v>0</v>
      </c>
      <c r="X114" s="133">
        <f>+SUM('12:25'!X114)</f>
        <v>0</v>
      </c>
      <c r="Y114" s="133">
        <f>+SUM('12:25'!Y114)</f>
        <v>0</v>
      </c>
      <c r="Z114" s="133">
        <f>+SUM('12:25'!Z114)</f>
        <v>0</v>
      </c>
      <c r="AA114" s="133">
        <f>+SUM('12:25'!AA114)</f>
        <v>0</v>
      </c>
      <c r="AB114" s="133">
        <f>+SUM('12:25'!AB114)</f>
        <v>0</v>
      </c>
      <c r="AC114" s="133">
        <f>+SUM('12:25'!AC114)</f>
        <v>0</v>
      </c>
      <c r="AD114" s="1">
        <f t="shared" si="9"/>
        <v>0</v>
      </c>
      <c r="AE114" s="1"/>
      <c r="AF114" s="1">
        <f t="shared" si="10"/>
        <v>0</v>
      </c>
    </row>
    <row r="115" spans="1:32" ht="22.5" customHeight="1">
      <c r="A115" s="140">
        <v>300097</v>
      </c>
      <c r="B115" s="135" t="s">
        <v>118</v>
      </c>
      <c r="C115" s="226" t="s">
        <v>121</v>
      </c>
      <c r="D115" s="226" t="s">
        <v>122</v>
      </c>
      <c r="E115" s="139" t="s">
        <v>63</v>
      </c>
      <c r="F115" s="13"/>
      <c r="G115" s="133">
        <f>+SUM('12:25'!G115)</f>
        <v>0</v>
      </c>
      <c r="H115" s="133">
        <f>+SUM('12:25'!H115)</f>
        <v>0</v>
      </c>
      <c r="I115" s="133">
        <f>+SUM('12:25'!I115)</f>
        <v>0</v>
      </c>
      <c r="J115" s="133">
        <f>+SUM('12:25'!J115)</f>
        <v>0</v>
      </c>
      <c r="K115" s="137">
        <f t="shared" si="11"/>
        <v>0</v>
      </c>
      <c r="L115" s="137">
        <f t="shared" si="12"/>
        <v>0</v>
      </c>
      <c r="M115" s="137">
        <v>480.13</v>
      </c>
      <c r="N115" s="137">
        <f>+M115*1000/(126.5*4*12*60)*T115</f>
        <v>2.6357597716293371</v>
      </c>
      <c r="O115" s="133">
        <f>+SUM('12:25'!O115)</f>
        <v>0</v>
      </c>
      <c r="P115" s="137">
        <f t="shared" si="13"/>
        <v>0</v>
      </c>
      <c r="Q115" s="133">
        <f>+SUM('12:25'!Q115)</f>
        <v>0</v>
      </c>
      <c r="R115" s="19">
        <f t="shared" si="14"/>
        <v>0</v>
      </c>
      <c r="S115" s="137">
        <f t="shared" si="15"/>
        <v>0</v>
      </c>
      <c r="T115" s="20">
        <v>2</v>
      </c>
      <c r="U115" s="133">
        <f>+SUM('12:25'!U115)</f>
        <v>0</v>
      </c>
      <c r="V115" s="143" t="str">
        <f t="array" ref="V115">IF(ISERROR(L115/K115),"",L115/K115)</f>
        <v/>
      </c>
      <c r="W115" s="133">
        <f>+SUM('12:25'!W115)</f>
        <v>0</v>
      </c>
      <c r="X115" s="133">
        <f>+SUM('12:25'!X115)</f>
        <v>0</v>
      </c>
      <c r="Y115" s="133">
        <f>+SUM('12:25'!Y115)</f>
        <v>0</v>
      </c>
      <c r="Z115" s="133">
        <f>+SUM('12:25'!Z115)</f>
        <v>0</v>
      </c>
      <c r="AA115" s="133">
        <f>+SUM('12:25'!AA115)</f>
        <v>0</v>
      </c>
      <c r="AB115" s="133">
        <f>+SUM('12:25'!AB115)</f>
        <v>0</v>
      </c>
      <c r="AC115" s="133">
        <f>+SUM('12:25'!AC115)</f>
        <v>0</v>
      </c>
      <c r="AD115" s="1">
        <f t="shared" si="9"/>
        <v>0</v>
      </c>
      <c r="AE115" s="1">
        <v>150.81</v>
      </c>
      <c r="AF115" s="1">
        <f t="shared" si="10"/>
        <v>0</v>
      </c>
    </row>
    <row r="116" spans="1:32" s="2" customFormat="1" ht="21.95" customHeight="1">
      <c r="A116" s="135">
        <v>300294</v>
      </c>
      <c r="B116" s="135" t="s">
        <v>118</v>
      </c>
      <c r="C116" s="226" t="s">
        <v>123</v>
      </c>
      <c r="D116" s="226"/>
      <c r="E116" s="139" t="s">
        <v>41</v>
      </c>
      <c r="F116" s="27"/>
      <c r="G116" s="133">
        <f>+SUM('12:25'!G116)</f>
        <v>0</v>
      </c>
      <c r="H116" s="133">
        <f>+SUM('12:25'!H116)</f>
        <v>0</v>
      </c>
      <c r="I116" s="133">
        <f>+SUM('12:25'!I116)</f>
        <v>0</v>
      </c>
      <c r="J116" s="133">
        <f>+SUM('12:25'!J116)</f>
        <v>0</v>
      </c>
      <c r="K116" s="137">
        <f t="shared" si="11"/>
        <v>0</v>
      </c>
      <c r="L116" s="137">
        <f t="shared" si="12"/>
        <v>0</v>
      </c>
      <c r="M116" s="137">
        <v>373.14</v>
      </c>
      <c r="N116" s="137">
        <f t="shared" ref="N116:N125" si="17">+M116*1000/(90*4*14*60)*T116</f>
        <v>3.7017857142857142</v>
      </c>
      <c r="O116" s="133">
        <f>+SUM('12:25'!O116)</f>
        <v>0</v>
      </c>
      <c r="P116" s="137">
        <f t="shared" si="13"/>
        <v>0</v>
      </c>
      <c r="Q116" s="133">
        <f>+SUM('12:25'!Q116)</f>
        <v>0</v>
      </c>
      <c r="R116" s="19">
        <f t="shared" si="14"/>
        <v>0</v>
      </c>
      <c r="S116" s="137">
        <f t="shared" si="15"/>
        <v>0</v>
      </c>
      <c r="T116" s="20">
        <v>3</v>
      </c>
      <c r="U116" s="133">
        <f>+SUM('12:25'!U116)</f>
        <v>0</v>
      </c>
      <c r="V116" s="143" t="str">
        <f t="array" ref="V116">IF(ISERROR(L116/K116),"",L116/K116)</f>
        <v/>
      </c>
      <c r="W116" s="133">
        <f>+SUM('12:25'!W116)</f>
        <v>0</v>
      </c>
      <c r="X116" s="133">
        <f>+SUM('12:25'!X116)</f>
        <v>0</v>
      </c>
      <c r="Y116" s="133">
        <f>+SUM('12:25'!Y116)</f>
        <v>0</v>
      </c>
      <c r="Z116" s="133">
        <f>+SUM('12:25'!Z116)</f>
        <v>0</v>
      </c>
      <c r="AA116" s="133">
        <f>+SUM('12:25'!AA116)</f>
        <v>0</v>
      </c>
      <c r="AB116" s="133">
        <f>+SUM('12:25'!AB116)</f>
        <v>0</v>
      </c>
      <c r="AC116" s="133">
        <f>+SUM('12:25'!AC116)</f>
        <v>0</v>
      </c>
      <c r="AD116" s="1">
        <f t="shared" si="9"/>
        <v>0</v>
      </c>
      <c r="AE116" s="52">
        <v>271.13</v>
      </c>
      <c r="AF116" s="1">
        <f t="shared" si="10"/>
        <v>0</v>
      </c>
    </row>
    <row r="117" spans="1:32" s="2" customFormat="1" ht="21.95" customHeight="1">
      <c r="A117" s="135">
        <v>300295</v>
      </c>
      <c r="B117" s="135" t="s">
        <v>124</v>
      </c>
      <c r="C117" s="226" t="s">
        <v>125</v>
      </c>
      <c r="D117" s="226"/>
      <c r="E117" s="139" t="s">
        <v>126</v>
      </c>
      <c r="F117" s="27"/>
      <c r="G117" s="133">
        <f>+SUM('12:25'!G117)</f>
        <v>0</v>
      </c>
      <c r="H117" s="133">
        <f>+SUM('12:25'!H117)</f>
        <v>0</v>
      </c>
      <c r="I117" s="133">
        <f>+SUM('12:25'!I117)</f>
        <v>0</v>
      </c>
      <c r="J117" s="133">
        <f>+SUM('12:25'!J117)</f>
        <v>0</v>
      </c>
      <c r="K117" s="137">
        <f t="shared" si="11"/>
        <v>0</v>
      </c>
      <c r="L117" s="137">
        <f t="shared" si="12"/>
        <v>0</v>
      </c>
      <c r="M117" s="137">
        <v>373.14</v>
      </c>
      <c r="N117" s="137">
        <f t="shared" si="17"/>
        <v>3.7017857142857142</v>
      </c>
      <c r="O117" s="133">
        <f>+SUM('12:25'!O117)</f>
        <v>0</v>
      </c>
      <c r="P117" s="137">
        <f t="shared" si="13"/>
        <v>0</v>
      </c>
      <c r="Q117" s="133">
        <f>+SUM('12:25'!Q117)</f>
        <v>0</v>
      </c>
      <c r="R117" s="19">
        <f t="shared" si="14"/>
        <v>0</v>
      </c>
      <c r="S117" s="137">
        <f t="shared" si="15"/>
        <v>0</v>
      </c>
      <c r="T117" s="20">
        <v>3</v>
      </c>
      <c r="U117" s="133">
        <f>+SUM('12:25'!U117)</f>
        <v>0</v>
      </c>
      <c r="V117" s="143" t="str">
        <f t="array" ref="V117">IF(ISERROR(L117/K117),"",L117/K117)</f>
        <v/>
      </c>
      <c r="W117" s="133">
        <f>+SUM('12:25'!W117)</f>
        <v>0</v>
      </c>
      <c r="X117" s="133">
        <f>+SUM('12:25'!X117)</f>
        <v>0</v>
      </c>
      <c r="Y117" s="133">
        <f>+SUM('12:25'!Y117)</f>
        <v>0</v>
      </c>
      <c r="Z117" s="133">
        <f>+SUM('12:25'!Z117)</f>
        <v>0</v>
      </c>
      <c r="AA117" s="133">
        <f>+SUM('12:25'!AA117)</f>
        <v>0</v>
      </c>
      <c r="AB117" s="133">
        <f>+SUM('12:25'!AB117)</f>
        <v>0</v>
      </c>
      <c r="AC117" s="133">
        <f>+SUM('12:25'!AC117)</f>
        <v>0</v>
      </c>
      <c r="AD117" s="1">
        <f t="shared" si="9"/>
        <v>0</v>
      </c>
      <c r="AE117" s="52">
        <v>271.13</v>
      </c>
      <c r="AF117" s="1">
        <f t="shared" si="10"/>
        <v>0</v>
      </c>
    </row>
    <row r="118" spans="1:32" s="2" customFormat="1" ht="21.95" customHeight="1">
      <c r="A118" s="135">
        <v>300258</v>
      </c>
      <c r="B118" s="135" t="s">
        <v>118</v>
      </c>
      <c r="C118" s="226" t="s">
        <v>123</v>
      </c>
      <c r="D118" s="226"/>
      <c r="E118" s="139" t="s">
        <v>42</v>
      </c>
      <c r="F118" s="27"/>
      <c r="G118" s="133">
        <f>+SUM('12:25'!G118)</f>
        <v>0</v>
      </c>
      <c r="H118" s="133">
        <f>+SUM('12:25'!H118)</f>
        <v>0</v>
      </c>
      <c r="I118" s="133">
        <f>+SUM('12:25'!I118)</f>
        <v>0</v>
      </c>
      <c r="J118" s="133">
        <f>+SUM('12:25'!J118)</f>
        <v>0</v>
      </c>
      <c r="K118" s="137">
        <f t="shared" si="11"/>
        <v>0</v>
      </c>
      <c r="L118" s="137">
        <f t="shared" si="12"/>
        <v>0</v>
      </c>
      <c r="M118" s="137">
        <v>373.14</v>
      </c>
      <c r="N118" s="137">
        <f t="shared" si="17"/>
        <v>3.7017857142857142</v>
      </c>
      <c r="O118" s="133">
        <f>+SUM('12:25'!O118)</f>
        <v>0</v>
      </c>
      <c r="P118" s="137">
        <f t="shared" si="13"/>
        <v>0</v>
      </c>
      <c r="Q118" s="133">
        <f>+SUM('12:25'!Q118)</f>
        <v>0</v>
      </c>
      <c r="R118" s="19">
        <f t="shared" si="14"/>
        <v>0</v>
      </c>
      <c r="S118" s="137">
        <f t="shared" si="15"/>
        <v>0</v>
      </c>
      <c r="T118" s="20">
        <v>3</v>
      </c>
      <c r="U118" s="133">
        <f>+SUM('12:25'!U118)</f>
        <v>0</v>
      </c>
      <c r="V118" s="143" t="str">
        <f t="array" ref="V118">IF(ISERROR(L118/K118),"",L118/K118)</f>
        <v/>
      </c>
      <c r="W118" s="133">
        <f>+SUM('12:25'!W118)</f>
        <v>0</v>
      </c>
      <c r="X118" s="133">
        <f>+SUM('12:25'!X118)</f>
        <v>0</v>
      </c>
      <c r="Y118" s="133">
        <f>+SUM('12:25'!Y118)</f>
        <v>0</v>
      </c>
      <c r="Z118" s="133">
        <f>+SUM('12:25'!Z118)</f>
        <v>0</v>
      </c>
      <c r="AA118" s="133">
        <f>+SUM('12:25'!AA118)</f>
        <v>0</v>
      </c>
      <c r="AB118" s="133">
        <f>+SUM('12:25'!AB118)</f>
        <v>0</v>
      </c>
      <c r="AC118" s="133">
        <f>+SUM('12:25'!AC118)</f>
        <v>0</v>
      </c>
      <c r="AD118" s="1">
        <f t="shared" si="9"/>
        <v>0</v>
      </c>
      <c r="AE118" s="52">
        <v>271.13</v>
      </c>
      <c r="AF118" s="1">
        <f t="shared" si="10"/>
        <v>0</v>
      </c>
    </row>
    <row r="119" spans="1:32" s="2" customFormat="1" ht="21.95" customHeight="1">
      <c r="A119" s="135">
        <v>300256</v>
      </c>
      <c r="B119" s="135" t="s">
        <v>118</v>
      </c>
      <c r="C119" s="226" t="s">
        <v>123</v>
      </c>
      <c r="D119" s="226"/>
      <c r="E119" s="139" t="s">
        <v>74</v>
      </c>
      <c r="F119" s="27"/>
      <c r="G119" s="133">
        <f>+SUM('12:25'!G119)</f>
        <v>0</v>
      </c>
      <c r="H119" s="133">
        <f>+SUM('12:25'!H119)</f>
        <v>0</v>
      </c>
      <c r="I119" s="133">
        <f>+SUM('12:25'!I119)</f>
        <v>0</v>
      </c>
      <c r="J119" s="133">
        <f>+SUM('12:25'!J119)</f>
        <v>0</v>
      </c>
      <c r="K119" s="137">
        <f t="shared" si="11"/>
        <v>0</v>
      </c>
      <c r="L119" s="137">
        <f t="shared" si="12"/>
        <v>0</v>
      </c>
      <c r="M119" s="137">
        <v>373.14</v>
      </c>
      <c r="N119" s="137">
        <f t="shared" si="17"/>
        <v>3.7017857142857142</v>
      </c>
      <c r="O119" s="133">
        <f>+SUM('12:25'!O119)</f>
        <v>0</v>
      </c>
      <c r="P119" s="137">
        <f t="shared" si="13"/>
        <v>0</v>
      </c>
      <c r="Q119" s="133">
        <f>+SUM('12:25'!Q119)</f>
        <v>0</v>
      </c>
      <c r="R119" s="19">
        <f t="shared" si="14"/>
        <v>0</v>
      </c>
      <c r="S119" s="137">
        <f t="shared" si="15"/>
        <v>0</v>
      </c>
      <c r="T119" s="20">
        <v>3</v>
      </c>
      <c r="U119" s="133">
        <f>+SUM('12:25'!U119)</f>
        <v>0</v>
      </c>
      <c r="V119" s="143" t="str">
        <f t="array" ref="V119">IF(ISERROR(L119/K119),"",L119/K119)</f>
        <v/>
      </c>
      <c r="W119" s="133">
        <f>+SUM('12:25'!W119)</f>
        <v>0</v>
      </c>
      <c r="X119" s="133">
        <f>+SUM('12:25'!X119)</f>
        <v>0</v>
      </c>
      <c r="Y119" s="133">
        <f>+SUM('12:25'!Y119)</f>
        <v>0</v>
      </c>
      <c r="Z119" s="133">
        <f>+SUM('12:25'!Z119)</f>
        <v>0</v>
      </c>
      <c r="AA119" s="133">
        <f>+SUM('12:25'!AA119)</f>
        <v>0</v>
      </c>
      <c r="AB119" s="133">
        <f>+SUM('12:25'!AB119)</f>
        <v>0</v>
      </c>
      <c r="AC119" s="133">
        <f>+SUM('12:25'!AC119)</f>
        <v>0</v>
      </c>
      <c r="AD119" s="1">
        <f t="shared" si="9"/>
        <v>0</v>
      </c>
      <c r="AE119" s="52">
        <v>271.13</v>
      </c>
      <c r="AF119" s="1">
        <f t="shared" si="10"/>
        <v>0</v>
      </c>
    </row>
    <row r="120" spans="1:32" s="2" customFormat="1" ht="21.95" customHeight="1">
      <c r="A120" s="135">
        <v>300259</v>
      </c>
      <c r="B120" s="135" t="s">
        <v>118</v>
      </c>
      <c r="C120" s="226" t="s">
        <v>123</v>
      </c>
      <c r="D120" s="226"/>
      <c r="E120" s="139" t="s">
        <v>40</v>
      </c>
      <c r="F120" s="27"/>
      <c r="G120" s="133">
        <f>+SUM('12:25'!G120)</f>
        <v>0</v>
      </c>
      <c r="H120" s="133">
        <f>+SUM('12:25'!H120)</f>
        <v>0</v>
      </c>
      <c r="I120" s="133">
        <f>+SUM('12:25'!I120)</f>
        <v>0</v>
      </c>
      <c r="J120" s="133">
        <f>+SUM('12:25'!J120)</f>
        <v>0</v>
      </c>
      <c r="K120" s="137">
        <f t="shared" si="11"/>
        <v>0</v>
      </c>
      <c r="L120" s="137">
        <f t="shared" si="12"/>
        <v>0</v>
      </c>
      <c r="M120" s="137">
        <v>373.14</v>
      </c>
      <c r="N120" s="137">
        <f t="shared" si="17"/>
        <v>3.7017857142857142</v>
      </c>
      <c r="O120" s="133">
        <f>+SUM('12:25'!O120)</f>
        <v>0</v>
      </c>
      <c r="P120" s="137">
        <f t="shared" si="13"/>
        <v>0</v>
      </c>
      <c r="Q120" s="133">
        <f>+SUM('12:25'!Q120)</f>
        <v>0</v>
      </c>
      <c r="R120" s="19">
        <f t="shared" si="14"/>
        <v>0</v>
      </c>
      <c r="S120" s="137">
        <f t="shared" si="15"/>
        <v>0</v>
      </c>
      <c r="T120" s="20">
        <v>3</v>
      </c>
      <c r="U120" s="133">
        <f>+SUM('12:25'!U120)</f>
        <v>0</v>
      </c>
      <c r="V120" s="143" t="str">
        <f t="array" ref="V120">IF(ISERROR(L120/K120),"",L120/K120)</f>
        <v/>
      </c>
      <c r="W120" s="133">
        <f>+SUM('12:25'!W120)</f>
        <v>0</v>
      </c>
      <c r="X120" s="133">
        <f>+SUM('12:25'!X120)</f>
        <v>0</v>
      </c>
      <c r="Y120" s="133">
        <f>+SUM('12:25'!Y120)</f>
        <v>0</v>
      </c>
      <c r="Z120" s="133">
        <f>+SUM('12:25'!Z120)</f>
        <v>0</v>
      </c>
      <c r="AA120" s="133">
        <f>+SUM('12:25'!AA120)</f>
        <v>0</v>
      </c>
      <c r="AB120" s="133">
        <f>+SUM('12:25'!AB120)</f>
        <v>0</v>
      </c>
      <c r="AC120" s="133">
        <f>+SUM('12:25'!AC120)</f>
        <v>0</v>
      </c>
      <c r="AD120" s="1">
        <f t="shared" si="9"/>
        <v>0</v>
      </c>
      <c r="AE120" s="52">
        <v>271.13</v>
      </c>
      <c r="AF120" s="1">
        <f t="shared" si="10"/>
        <v>0</v>
      </c>
    </row>
    <row r="121" spans="1:32" s="2" customFormat="1" ht="21.95" customHeight="1">
      <c r="A121" s="135">
        <v>300345</v>
      </c>
      <c r="B121" s="135" t="s">
        <v>118</v>
      </c>
      <c r="C121" s="226" t="s">
        <v>127</v>
      </c>
      <c r="D121" s="226"/>
      <c r="E121" s="139" t="s">
        <v>74</v>
      </c>
      <c r="F121" s="27"/>
      <c r="G121" s="133">
        <f>+SUM('12:25'!G121)</f>
        <v>0</v>
      </c>
      <c r="H121" s="133">
        <f>+SUM('12:25'!H121)</f>
        <v>0</v>
      </c>
      <c r="I121" s="133">
        <f>+SUM('12:25'!I121)</f>
        <v>0</v>
      </c>
      <c r="J121" s="133">
        <f>+SUM('12:25'!J121)</f>
        <v>0</v>
      </c>
      <c r="K121" s="137">
        <f t="shared" si="11"/>
        <v>0</v>
      </c>
      <c r="L121" s="137">
        <f t="shared" si="12"/>
        <v>0</v>
      </c>
      <c r="M121" s="137">
        <v>373.14</v>
      </c>
      <c r="N121" s="137">
        <f t="shared" si="17"/>
        <v>3.7017857142857142</v>
      </c>
      <c r="O121" s="133">
        <f>+SUM('12:25'!O121)</f>
        <v>0</v>
      </c>
      <c r="P121" s="137">
        <f t="shared" si="13"/>
        <v>0</v>
      </c>
      <c r="Q121" s="133">
        <f>+SUM('12:25'!Q121)</f>
        <v>0</v>
      </c>
      <c r="R121" s="19">
        <f t="shared" si="14"/>
        <v>0</v>
      </c>
      <c r="S121" s="137">
        <f t="shared" si="15"/>
        <v>0</v>
      </c>
      <c r="T121" s="20">
        <v>3</v>
      </c>
      <c r="U121" s="133">
        <f>+SUM('12:25'!U121)</f>
        <v>0</v>
      </c>
      <c r="V121" s="143"/>
      <c r="W121" s="133">
        <f>+SUM('12:25'!W121)</f>
        <v>0</v>
      </c>
      <c r="X121" s="133">
        <f>+SUM('12:25'!X121)</f>
        <v>0</v>
      </c>
      <c r="Y121" s="133">
        <f>+SUM('12:25'!Y121)</f>
        <v>0</v>
      </c>
      <c r="Z121" s="133">
        <f>+SUM('12:25'!Z121)</f>
        <v>0</v>
      </c>
      <c r="AA121" s="133">
        <f>+SUM('12:25'!AA121)</f>
        <v>0</v>
      </c>
      <c r="AB121" s="133">
        <f>+SUM('12:25'!AB121)</f>
        <v>0</v>
      </c>
      <c r="AC121" s="133">
        <f>+SUM('12:25'!AC121)</f>
        <v>0</v>
      </c>
      <c r="AD121" s="1">
        <f t="shared" si="9"/>
        <v>0</v>
      </c>
      <c r="AE121" s="52">
        <v>271.13</v>
      </c>
      <c r="AF121" s="1">
        <f t="shared" si="10"/>
        <v>0</v>
      </c>
    </row>
    <row r="122" spans="1:32" s="2" customFormat="1" ht="21.95" customHeight="1">
      <c r="A122" s="135">
        <v>300346</v>
      </c>
      <c r="B122" s="135" t="s">
        <v>118</v>
      </c>
      <c r="C122" s="226" t="s">
        <v>127</v>
      </c>
      <c r="D122" s="226"/>
      <c r="E122" s="139" t="s">
        <v>42</v>
      </c>
      <c r="F122" s="27"/>
      <c r="G122" s="133">
        <f>+SUM('12:25'!G122)</f>
        <v>0</v>
      </c>
      <c r="H122" s="133">
        <f>+SUM('12:25'!H122)</f>
        <v>0</v>
      </c>
      <c r="I122" s="133">
        <f>+SUM('12:25'!I122)</f>
        <v>0</v>
      </c>
      <c r="J122" s="133">
        <f>+SUM('12:25'!J122)</f>
        <v>0</v>
      </c>
      <c r="K122" s="137">
        <f t="shared" si="11"/>
        <v>0</v>
      </c>
      <c r="L122" s="137">
        <f t="shared" si="12"/>
        <v>0</v>
      </c>
      <c r="M122" s="137">
        <v>373.14</v>
      </c>
      <c r="N122" s="137">
        <f t="shared" si="17"/>
        <v>3.7017857142857142</v>
      </c>
      <c r="O122" s="133">
        <f>+SUM('12:25'!O122)</f>
        <v>0</v>
      </c>
      <c r="P122" s="137">
        <f t="shared" si="13"/>
        <v>0</v>
      </c>
      <c r="Q122" s="133">
        <f>+SUM('12:25'!Q122)</f>
        <v>0</v>
      </c>
      <c r="R122" s="19">
        <f t="shared" si="14"/>
        <v>0</v>
      </c>
      <c r="S122" s="137">
        <f t="shared" si="15"/>
        <v>0</v>
      </c>
      <c r="T122" s="20">
        <v>3</v>
      </c>
      <c r="U122" s="133">
        <f>+SUM('12:25'!U122)</f>
        <v>0</v>
      </c>
      <c r="V122" s="143"/>
      <c r="W122" s="133">
        <f>+SUM('12:25'!W122)</f>
        <v>0</v>
      </c>
      <c r="X122" s="133">
        <f>+SUM('12:25'!X122)</f>
        <v>0</v>
      </c>
      <c r="Y122" s="133">
        <f>+SUM('12:25'!Y122)</f>
        <v>0</v>
      </c>
      <c r="Z122" s="133">
        <f>+SUM('12:25'!Z122)</f>
        <v>0</v>
      </c>
      <c r="AA122" s="133">
        <f>+SUM('12:25'!AA122)</f>
        <v>0</v>
      </c>
      <c r="AB122" s="133">
        <f>+SUM('12:25'!AB122)</f>
        <v>0</v>
      </c>
      <c r="AC122" s="133">
        <f>+SUM('12:25'!AC122)</f>
        <v>0</v>
      </c>
      <c r="AD122" s="1">
        <f t="shared" si="9"/>
        <v>0</v>
      </c>
      <c r="AE122" s="52">
        <v>271.13</v>
      </c>
      <c r="AF122" s="1">
        <f t="shared" si="10"/>
        <v>0</v>
      </c>
    </row>
    <row r="123" spans="1:32" s="2" customFormat="1" ht="21.95" customHeight="1">
      <c r="A123" s="135">
        <v>300347</v>
      </c>
      <c r="B123" s="135" t="s">
        <v>118</v>
      </c>
      <c r="C123" s="226" t="s">
        <v>127</v>
      </c>
      <c r="D123" s="226"/>
      <c r="E123" s="139" t="s">
        <v>41</v>
      </c>
      <c r="F123" s="27"/>
      <c r="G123" s="133">
        <f>+SUM('12:25'!G123)</f>
        <v>0</v>
      </c>
      <c r="H123" s="133">
        <f>+SUM('12:25'!H123)</f>
        <v>0</v>
      </c>
      <c r="I123" s="133">
        <f>+SUM('12:25'!I123)</f>
        <v>0</v>
      </c>
      <c r="J123" s="133">
        <f>+SUM('12:25'!J123)</f>
        <v>0</v>
      </c>
      <c r="K123" s="137">
        <f t="shared" si="11"/>
        <v>0</v>
      </c>
      <c r="L123" s="137">
        <f t="shared" si="12"/>
        <v>0</v>
      </c>
      <c r="M123" s="137">
        <v>373.14</v>
      </c>
      <c r="N123" s="137">
        <f t="shared" si="17"/>
        <v>3.7017857142857142</v>
      </c>
      <c r="O123" s="133">
        <f>+SUM('12:25'!O123)</f>
        <v>0</v>
      </c>
      <c r="P123" s="137">
        <f t="shared" si="13"/>
        <v>0</v>
      </c>
      <c r="Q123" s="133">
        <f>+SUM('12:25'!Q123)</f>
        <v>0</v>
      </c>
      <c r="R123" s="19">
        <f t="shared" si="14"/>
        <v>0</v>
      </c>
      <c r="S123" s="137">
        <f t="shared" si="15"/>
        <v>0</v>
      </c>
      <c r="T123" s="20">
        <v>3</v>
      </c>
      <c r="U123" s="133">
        <f>+SUM('12:25'!U123)</f>
        <v>0</v>
      </c>
      <c r="V123" s="143"/>
      <c r="W123" s="133">
        <f>+SUM('12:25'!W123)</f>
        <v>0</v>
      </c>
      <c r="X123" s="133">
        <f>+SUM('12:25'!X123)</f>
        <v>0</v>
      </c>
      <c r="Y123" s="133">
        <f>+SUM('12:25'!Y123)</f>
        <v>0</v>
      </c>
      <c r="Z123" s="133">
        <f>+SUM('12:25'!Z123)</f>
        <v>0</v>
      </c>
      <c r="AA123" s="133">
        <f>+SUM('12:25'!AA123)</f>
        <v>0</v>
      </c>
      <c r="AB123" s="133">
        <f>+SUM('12:25'!AB123)</f>
        <v>0</v>
      </c>
      <c r="AC123" s="133">
        <f>+SUM('12:25'!AC123)</f>
        <v>0</v>
      </c>
      <c r="AD123" s="1">
        <f t="shared" si="9"/>
        <v>0</v>
      </c>
      <c r="AE123" s="52">
        <v>271.13</v>
      </c>
      <c r="AF123" s="1">
        <f t="shared" si="10"/>
        <v>0</v>
      </c>
    </row>
    <row r="124" spans="1:32" s="2" customFormat="1" ht="21.95" customHeight="1">
      <c r="A124" s="135">
        <v>300348</v>
      </c>
      <c r="B124" s="135" t="s">
        <v>118</v>
      </c>
      <c r="C124" s="226" t="s">
        <v>127</v>
      </c>
      <c r="D124" s="226"/>
      <c r="E124" s="139" t="s">
        <v>126</v>
      </c>
      <c r="F124" s="27"/>
      <c r="G124" s="133">
        <f>+SUM('12:25'!G124)</f>
        <v>0</v>
      </c>
      <c r="H124" s="133">
        <f>+SUM('12:25'!H124)</f>
        <v>0</v>
      </c>
      <c r="I124" s="133">
        <f>+SUM('12:25'!I124)</f>
        <v>0</v>
      </c>
      <c r="J124" s="133">
        <f>+SUM('12:25'!J124)</f>
        <v>0</v>
      </c>
      <c r="K124" s="137">
        <f t="shared" si="11"/>
        <v>0</v>
      </c>
      <c r="L124" s="137">
        <f t="shared" si="12"/>
        <v>0</v>
      </c>
      <c r="M124" s="137">
        <v>373.14</v>
      </c>
      <c r="N124" s="137">
        <f t="shared" si="17"/>
        <v>3.7017857142857142</v>
      </c>
      <c r="O124" s="133">
        <f>+SUM('12:25'!O124)</f>
        <v>0</v>
      </c>
      <c r="P124" s="137">
        <f t="shared" si="13"/>
        <v>0</v>
      </c>
      <c r="Q124" s="133">
        <f>+SUM('12:25'!Q124)</f>
        <v>0</v>
      </c>
      <c r="R124" s="19">
        <f t="shared" si="14"/>
        <v>0</v>
      </c>
      <c r="S124" s="137">
        <f t="shared" si="15"/>
        <v>0</v>
      </c>
      <c r="T124" s="20">
        <v>3</v>
      </c>
      <c r="U124" s="133">
        <f>+SUM('12:25'!U124)</f>
        <v>0</v>
      </c>
      <c r="V124" s="143"/>
      <c r="W124" s="133">
        <f>+SUM('12:25'!W124)</f>
        <v>0</v>
      </c>
      <c r="X124" s="133">
        <f>+SUM('12:25'!X124)</f>
        <v>0</v>
      </c>
      <c r="Y124" s="133">
        <f>+SUM('12:25'!Y124)</f>
        <v>0</v>
      </c>
      <c r="Z124" s="133">
        <f>+SUM('12:25'!Z124)</f>
        <v>0</v>
      </c>
      <c r="AA124" s="133">
        <f>+SUM('12:25'!AA124)</f>
        <v>0</v>
      </c>
      <c r="AB124" s="133">
        <f>+SUM('12:25'!AB124)</f>
        <v>0</v>
      </c>
      <c r="AC124" s="133">
        <f>+SUM('12:25'!AC124)</f>
        <v>0</v>
      </c>
      <c r="AD124" s="1">
        <f t="shared" si="9"/>
        <v>0</v>
      </c>
      <c r="AE124" s="52">
        <v>271.13</v>
      </c>
      <c r="AF124" s="1">
        <f t="shared" si="10"/>
        <v>0</v>
      </c>
    </row>
    <row r="125" spans="1:32" s="2" customFormat="1" ht="21.95" customHeight="1">
      <c r="A125" s="135">
        <v>300349</v>
      </c>
      <c r="B125" s="135" t="s">
        <v>118</v>
      </c>
      <c r="C125" s="226" t="s">
        <v>127</v>
      </c>
      <c r="D125" s="226"/>
      <c r="E125" s="139" t="s">
        <v>40</v>
      </c>
      <c r="F125" s="27"/>
      <c r="G125" s="133">
        <f>+SUM('12:25'!G125)</f>
        <v>0</v>
      </c>
      <c r="H125" s="133">
        <f>+SUM('12:25'!H125)</f>
        <v>0</v>
      </c>
      <c r="I125" s="133">
        <f>+SUM('12:25'!I125)</f>
        <v>0</v>
      </c>
      <c r="J125" s="133">
        <f>+SUM('12:25'!J125)</f>
        <v>0</v>
      </c>
      <c r="K125" s="137">
        <f t="shared" si="11"/>
        <v>0</v>
      </c>
      <c r="L125" s="137">
        <f t="shared" si="12"/>
        <v>0</v>
      </c>
      <c r="M125" s="137">
        <v>373.14</v>
      </c>
      <c r="N125" s="137">
        <f t="shared" si="17"/>
        <v>3.7017857142857142</v>
      </c>
      <c r="O125" s="133">
        <f>+SUM('12:25'!O125)</f>
        <v>0</v>
      </c>
      <c r="P125" s="137">
        <f t="shared" si="13"/>
        <v>0</v>
      </c>
      <c r="Q125" s="133">
        <f>+SUM('12:25'!Q125)</f>
        <v>0</v>
      </c>
      <c r="R125" s="19">
        <f t="shared" si="14"/>
        <v>0</v>
      </c>
      <c r="S125" s="137">
        <f t="shared" si="15"/>
        <v>0</v>
      </c>
      <c r="T125" s="20">
        <v>3</v>
      </c>
      <c r="U125" s="133">
        <f>+SUM('12:25'!U125)</f>
        <v>0</v>
      </c>
      <c r="V125" s="143"/>
      <c r="W125" s="133">
        <f>+SUM('12:25'!W125)</f>
        <v>0</v>
      </c>
      <c r="X125" s="133">
        <f>+SUM('12:25'!X125)</f>
        <v>0</v>
      </c>
      <c r="Y125" s="133">
        <f>+SUM('12:25'!Y125)</f>
        <v>0</v>
      </c>
      <c r="Z125" s="133">
        <f>+SUM('12:25'!Z125)</f>
        <v>0</v>
      </c>
      <c r="AA125" s="133">
        <f>+SUM('12:25'!AA125)</f>
        <v>0</v>
      </c>
      <c r="AB125" s="133">
        <f>+SUM('12:25'!AB125)</f>
        <v>0</v>
      </c>
      <c r="AC125" s="133">
        <f>+SUM('12:25'!AC125)</f>
        <v>0</v>
      </c>
      <c r="AD125" s="1">
        <f t="shared" si="9"/>
        <v>0</v>
      </c>
      <c r="AE125" s="52">
        <v>271.13</v>
      </c>
      <c r="AF125" s="1">
        <f t="shared" si="10"/>
        <v>0</v>
      </c>
    </row>
    <row r="126" spans="1:32" s="2" customFormat="1" ht="21.95" customHeight="1">
      <c r="A126" s="135">
        <v>300298</v>
      </c>
      <c r="B126" s="135" t="s">
        <v>118</v>
      </c>
      <c r="C126" s="226" t="s">
        <v>128</v>
      </c>
      <c r="D126" s="226"/>
      <c r="E126" s="139" t="s">
        <v>54</v>
      </c>
      <c r="F126" s="27"/>
      <c r="G126" s="133">
        <f>+SUM('12:25'!G126)</f>
        <v>0</v>
      </c>
      <c r="H126" s="133">
        <f>+SUM('12:25'!H126)</f>
        <v>0</v>
      </c>
      <c r="I126" s="133">
        <f>+SUM('12:25'!I126)</f>
        <v>0</v>
      </c>
      <c r="J126" s="133">
        <f>+SUM('12:25'!J126)</f>
        <v>0</v>
      </c>
      <c r="K126" s="137">
        <f t="shared" si="11"/>
        <v>0</v>
      </c>
      <c r="L126" s="137">
        <f t="shared" si="12"/>
        <v>0</v>
      </c>
      <c r="M126" s="137">
        <v>380.63</v>
      </c>
      <c r="N126" s="137">
        <f t="shared" ref="N126:N131" si="18">+M126*1000/(94.7*4*15*60)*T126</f>
        <v>4.4659157573624313</v>
      </c>
      <c r="O126" s="133">
        <f>+SUM('12:25'!O126)</f>
        <v>0</v>
      </c>
      <c r="P126" s="137">
        <f t="shared" si="13"/>
        <v>0</v>
      </c>
      <c r="Q126" s="133">
        <f>+SUM('12:25'!Q126)</f>
        <v>0</v>
      </c>
      <c r="R126" s="19">
        <f t="shared" si="14"/>
        <v>0</v>
      </c>
      <c r="S126" s="137">
        <f t="shared" si="15"/>
        <v>0</v>
      </c>
      <c r="T126" s="20">
        <v>4</v>
      </c>
      <c r="U126" s="133">
        <f>+SUM('12:25'!U126)</f>
        <v>0</v>
      </c>
      <c r="V126" s="143" t="str">
        <f t="array" ref="V126">IF(ISERROR(L126/K126),"",L126/K126)</f>
        <v/>
      </c>
      <c r="W126" s="133">
        <f>+SUM('12:25'!W126)</f>
        <v>0</v>
      </c>
      <c r="X126" s="133">
        <f>+SUM('12:25'!X126)</f>
        <v>0</v>
      </c>
      <c r="Y126" s="133">
        <f>+SUM('12:25'!Y126)</f>
        <v>0</v>
      </c>
      <c r="Z126" s="133">
        <f>+SUM('12:25'!Z126)</f>
        <v>0</v>
      </c>
      <c r="AA126" s="133">
        <f>+SUM('12:25'!AA126)</f>
        <v>0</v>
      </c>
      <c r="AB126" s="133">
        <f>+SUM('12:25'!AB126)</f>
        <v>0</v>
      </c>
      <c r="AC126" s="133">
        <f>+SUM('12:25'!AC126)</f>
        <v>0</v>
      </c>
      <c r="AD126" s="1">
        <f t="shared" si="9"/>
        <v>0</v>
      </c>
      <c r="AE126" s="52">
        <v>295.45999999999998</v>
      </c>
      <c r="AF126" s="1">
        <f t="shared" si="10"/>
        <v>0</v>
      </c>
    </row>
    <row r="127" spans="1:32" s="2" customFormat="1" ht="21.95" customHeight="1">
      <c r="A127" s="135">
        <v>300299</v>
      </c>
      <c r="B127" s="135" t="s">
        <v>118</v>
      </c>
      <c r="C127" s="226" t="s">
        <v>128</v>
      </c>
      <c r="D127" s="226"/>
      <c r="E127" s="139" t="s">
        <v>39</v>
      </c>
      <c r="F127" s="27"/>
      <c r="G127" s="133">
        <f>+SUM('12:25'!G127)</f>
        <v>0</v>
      </c>
      <c r="H127" s="133">
        <f>+SUM('12:25'!H127)</f>
        <v>0</v>
      </c>
      <c r="I127" s="133">
        <f>+SUM('12:25'!I127)</f>
        <v>0</v>
      </c>
      <c r="J127" s="133">
        <f>+SUM('12:25'!J127)</f>
        <v>0</v>
      </c>
      <c r="K127" s="137">
        <f t="shared" si="11"/>
        <v>0</v>
      </c>
      <c r="L127" s="137">
        <f t="shared" si="12"/>
        <v>0</v>
      </c>
      <c r="M127" s="137">
        <v>380.63</v>
      </c>
      <c r="N127" s="137">
        <f t="shared" si="18"/>
        <v>4.4659157573624313</v>
      </c>
      <c r="O127" s="133">
        <f>+SUM('12:25'!O127)</f>
        <v>0</v>
      </c>
      <c r="P127" s="137">
        <f t="shared" si="13"/>
        <v>0</v>
      </c>
      <c r="Q127" s="133">
        <f>+SUM('12:25'!Q127)</f>
        <v>0</v>
      </c>
      <c r="R127" s="19">
        <f t="shared" si="14"/>
        <v>0</v>
      </c>
      <c r="S127" s="137">
        <f t="shared" si="15"/>
        <v>0</v>
      </c>
      <c r="T127" s="20">
        <v>4</v>
      </c>
      <c r="U127" s="133">
        <f>+SUM('12:25'!U127)</f>
        <v>0</v>
      </c>
      <c r="V127" s="143" t="str">
        <f t="array" ref="V127">IF(ISERROR(L127/K127),"",L127/K127)</f>
        <v/>
      </c>
      <c r="W127" s="133">
        <f>+SUM('12:25'!W127)</f>
        <v>0</v>
      </c>
      <c r="X127" s="133">
        <f>+SUM('12:25'!X127)</f>
        <v>0</v>
      </c>
      <c r="Y127" s="133">
        <f>+SUM('12:25'!Y127)</f>
        <v>0</v>
      </c>
      <c r="Z127" s="133">
        <f>+SUM('12:25'!Z127)</f>
        <v>0</v>
      </c>
      <c r="AA127" s="133">
        <f>+SUM('12:25'!AA127)</f>
        <v>0</v>
      </c>
      <c r="AB127" s="133">
        <f>+SUM('12:25'!AB127)</f>
        <v>0</v>
      </c>
      <c r="AC127" s="133">
        <f>+SUM('12:25'!AC127)</f>
        <v>0</v>
      </c>
      <c r="AD127" s="1">
        <f t="shared" si="9"/>
        <v>0</v>
      </c>
      <c r="AE127" s="52">
        <v>295.45999999999998</v>
      </c>
      <c r="AF127" s="1">
        <f t="shared" si="10"/>
        <v>0</v>
      </c>
    </row>
    <row r="128" spans="1:32" s="2" customFormat="1" ht="21.95" customHeight="1">
      <c r="A128" s="135">
        <v>300296</v>
      </c>
      <c r="B128" s="135" t="s">
        <v>118</v>
      </c>
      <c r="C128" s="226" t="s">
        <v>128</v>
      </c>
      <c r="D128" s="226"/>
      <c r="E128" s="139" t="s">
        <v>41</v>
      </c>
      <c r="F128" s="27"/>
      <c r="G128" s="133">
        <f>+SUM('12:25'!G128)</f>
        <v>0</v>
      </c>
      <c r="H128" s="133">
        <f>+SUM('12:25'!H128)</f>
        <v>0</v>
      </c>
      <c r="I128" s="133">
        <f>+SUM('12:25'!I128)</f>
        <v>0</v>
      </c>
      <c r="J128" s="133">
        <f>+SUM('12:25'!J128)</f>
        <v>0</v>
      </c>
      <c r="K128" s="137">
        <f t="shared" si="11"/>
        <v>0</v>
      </c>
      <c r="L128" s="137">
        <f t="shared" si="12"/>
        <v>0</v>
      </c>
      <c r="M128" s="137">
        <v>380.63</v>
      </c>
      <c r="N128" s="137">
        <f t="shared" si="18"/>
        <v>4.4659157573624313</v>
      </c>
      <c r="O128" s="133">
        <f>+SUM('12:25'!O128)</f>
        <v>0</v>
      </c>
      <c r="P128" s="137">
        <f t="shared" si="13"/>
        <v>0</v>
      </c>
      <c r="Q128" s="133">
        <f>+SUM('12:25'!Q128)</f>
        <v>0</v>
      </c>
      <c r="R128" s="19">
        <f t="shared" si="14"/>
        <v>0</v>
      </c>
      <c r="S128" s="137">
        <f t="shared" si="15"/>
        <v>0</v>
      </c>
      <c r="T128" s="20">
        <v>4</v>
      </c>
      <c r="U128" s="133">
        <f>+SUM('12:25'!U128)</f>
        <v>0</v>
      </c>
      <c r="V128" s="143" t="str">
        <f t="array" ref="V128">IF(ISERROR(L128/K128),"",L128/K128)</f>
        <v/>
      </c>
      <c r="W128" s="133">
        <f>+SUM('12:25'!W128)</f>
        <v>0</v>
      </c>
      <c r="X128" s="133">
        <f>+SUM('12:25'!X128)</f>
        <v>0</v>
      </c>
      <c r="Y128" s="133">
        <f>+SUM('12:25'!Y128)</f>
        <v>0</v>
      </c>
      <c r="Z128" s="133">
        <f>+SUM('12:25'!Z128)</f>
        <v>0</v>
      </c>
      <c r="AA128" s="133">
        <f>+SUM('12:25'!AA128)</f>
        <v>0</v>
      </c>
      <c r="AB128" s="133">
        <f>+SUM('12:25'!AB128)</f>
        <v>0</v>
      </c>
      <c r="AC128" s="133">
        <f>+SUM('12:25'!AC128)</f>
        <v>0</v>
      </c>
      <c r="AD128" s="1">
        <f t="shared" si="9"/>
        <v>0</v>
      </c>
      <c r="AE128" s="52">
        <v>295.45999999999998</v>
      </c>
      <c r="AF128" s="1">
        <f t="shared" si="10"/>
        <v>0</v>
      </c>
    </row>
    <row r="129" spans="1:32" s="2" customFormat="1" ht="21.95" customHeight="1">
      <c r="A129" s="135">
        <v>300297</v>
      </c>
      <c r="B129" s="135" t="s">
        <v>118</v>
      </c>
      <c r="C129" s="226" t="s">
        <v>128</v>
      </c>
      <c r="D129" s="226"/>
      <c r="E129" s="139" t="s">
        <v>37</v>
      </c>
      <c r="F129" s="27"/>
      <c r="G129" s="133">
        <f>+SUM('12:25'!G129)</f>
        <v>0</v>
      </c>
      <c r="H129" s="133">
        <f>+SUM('12:25'!H129)</f>
        <v>0</v>
      </c>
      <c r="I129" s="133">
        <f>+SUM('12:25'!I129)</f>
        <v>0</v>
      </c>
      <c r="J129" s="133">
        <f>+SUM('12:25'!J129)</f>
        <v>0</v>
      </c>
      <c r="K129" s="137">
        <f t="shared" si="11"/>
        <v>0</v>
      </c>
      <c r="L129" s="137">
        <f t="shared" si="12"/>
        <v>0</v>
      </c>
      <c r="M129" s="137">
        <v>380.63</v>
      </c>
      <c r="N129" s="137">
        <f t="shared" si="18"/>
        <v>4.4659157573624313</v>
      </c>
      <c r="O129" s="133">
        <f>+SUM('12:25'!O129)</f>
        <v>0</v>
      </c>
      <c r="P129" s="137">
        <f t="shared" si="13"/>
        <v>0</v>
      </c>
      <c r="Q129" s="133">
        <f>+SUM('12:25'!Q129)</f>
        <v>0</v>
      </c>
      <c r="R129" s="19">
        <f t="shared" si="14"/>
        <v>0</v>
      </c>
      <c r="S129" s="137">
        <f t="shared" si="15"/>
        <v>0</v>
      </c>
      <c r="T129" s="20">
        <v>4</v>
      </c>
      <c r="U129" s="133">
        <f>+SUM('12:25'!U129)</f>
        <v>0</v>
      </c>
      <c r="V129" s="143" t="str">
        <f t="array" ref="V129">IF(ISERROR(L129/K129),"",L129/K129)</f>
        <v/>
      </c>
      <c r="W129" s="133">
        <f>+SUM('12:25'!W129)</f>
        <v>0</v>
      </c>
      <c r="X129" s="133">
        <f>+SUM('12:25'!X129)</f>
        <v>0</v>
      </c>
      <c r="Y129" s="133">
        <f>+SUM('12:25'!Y129)</f>
        <v>0</v>
      </c>
      <c r="Z129" s="133">
        <f>+SUM('12:25'!Z129)</f>
        <v>0</v>
      </c>
      <c r="AA129" s="133">
        <f>+SUM('12:25'!AA129)</f>
        <v>0</v>
      </c>
      <c r="AB129" s="133">
        <f>+SUM('12:25'!AB129)</f>
        <v>0</v>
      </c>
      <c r="AC129" s="133">
        <f>+SUM('12:25'!AC129)</f>
        <v>0</v>
      </c>
      <c r="AD129" s="1">
        <f t="shared" si="9"/>
        <v>0</v>
      </c>
      <c r="AE129" s="52">
        <v>295.45999999999998</v>
      </c>
      <c r="AF129" s="1">
        <f t="shared" si="10"/>
        <v>0</v>
      </c>
    </row>
    <row r="130" spans="1:32" s="2" customFormat="1" ht="21.95" customHeight="1">
      <c r="A130" s="135">
        <v>300340</v>
      </c>
      <c r="B130" s="135" t="s">
        <v>118</v>
      </c>
      <c r="C130" s="237" t="s">
        <v>129</v>
      </c>
      <c r="D130" s="238"/>
      <c r="E130" s="139" t="s">
        <v>41</v>
      </c>
      <c r="F130" s="27"/>
      <c r="G130" s="133">
        <f>+SUM('12:25'!G130)</f>
        <v>0</v>
      </c>
      <c r="H130" s="133">
        <f>+SUM('12:25'!H130)</f>
        <v>0</v>
      </c>
      <c r="I130" s="133">
        <f>+SUM('12:25'!I130)</f>
        <v>0</v>
      </c>
      <c r="J130" s="133">
        <f>+SUM('12:25'!J130)</f>
        <v>0</v>
      </c>
      <c r="K130" s="137">
        <f t="shared" si="11"/>
        <v>0</v>
      </c>
      <c r="L130" s="137">
        <f t="shared" si="12"/>
        <v>0</v>
      </c>
      <c r="M130" s="137">
        <v>325.60000000000002</v>
      </c>
      <c r="N130" s="137">
        <f t="shared" si="18"/>
        <v>3.8202510852986036</v>
      </c>
      <c r="O130" s="133">
        <f>+SUM('12:25'!O130)</f>
        <v>0</v>
      </c>
      <c r="P130" s="137">
        <f t="shared" si="13"/>
        <v>0</v>
      </c>
      <c r="Q130" s="133">
        <f>+SUM('12:25'!Q130)</f>
        <v>0</v>
      </c>
      <c r="R130" s="19">
        <f t="shared" si="14"/>
        <v>0</v>
      </c>
      <c r="S130" s="137">
        <f t="shared" si="15"/>
        <v>0</v>
      </c>
      <c r="T130" s="20">
        <v>4</v>
      </c>
      <c r="U130" s="133">
        <f>+SUM('12:25'!U130)</f>
        <v>0</v>
      </c>
      <c r="V130" s="143"/>
      <c r="W130" s="133">
        <f>+SUM('12:25'!W130)</f>
        <v>0</v>
      </c>
      <c r="X130" s="133">
        <f>+SUM('12:25'!X130)</f>
        <v>0</v>
      </c>
      <c r="Y130" s="133">
        <f>+SUM('12:25'!Y130)</f>
        <v>0</v>
      </c>
      <c r="Z130" s="133">
        <f>+SUM('12:25'!Z130)</f>
        <v>0</v>
      </c>
      <c r="AA130" s="133">
        <f>+SUM('12:25'!AA130)</f>
        <v>0</v>
      </c>
      <c r="AB130" s="133">
        <f>+SUM('12:25'!AB130)</f>
        <v>0</v>
      </c>
      <c r="AC130" s="133">
        <f>+SUM('12:25'!AC130)</f>
        <v>0</v>
      </c>
      <c r="AD130" s="1">
        <f t="shared" si="9"/>
        <v>0</v>
      </c>
      <c r="AE130" s="52">
        <v>295.45999999999998</v>
      </c>
      <c r="AF130" s="1">
        <f t="shared" si="10"/>
        <v>0</v>
      </c>
    </row>
    <row r="131" spans="1:32" s="2" customFormat="1" ht="21.95" customHeight="1">
      <c r="A131" s="135">
        <v>300339</v>
      </c>
      <c r="B131" s="135" t="s">
        <v>118</v>
      </c>
      <c r="C131" s="237" t="s">
        <v>129</v>
      </c>
      <c r="D131" s="238"/>
      <c r="E131" s="139" t="s">
        <v>39</v>
      </c>
      <c r="F131" s="27"/>
      <c r="G131" s="133">
        <f>+SUM('12:25'!G131)</f>
        <v>0</v>
      </c>
      <c r="H131" s="133">
        <f>+SUM('12:25'!H131)</f>
        <v>0</v>
      </c>
      <c r="I131" s="133">
        <f>+SUM('12:25'!I131)</f>
        <v>0</v>
      </c>
      <c r="J131" s="133">
        <f>+SUM('12:25'!J131)</f>
        <v>0</v>
      </c>
      <c r="K131" s="137">
        <f t="shared" si="11"/>
        <v>0</v>
      </c>
      <c r="L131" s="137">
        <f t="shared" si="12"/>
        <v>0</v>
      </c>
      <c r="M131" s="137">
        <v>325.60000000000002</v>
      </c>
      <c r="N131" s="137">
        <f t="shared" si="18"/>
        <v>3.8202510852986036</v>
      </c>
      <c r="O131" s="133">
        <f>+SUM('12:25'!O131)</f>
        <v>0</v>
      </c>
      <c r="P131" s="137">
        <f t="shared" si="13"/>
        <v>0</v>
      </c>
      <c r="Q131" s="133">
        <f>+SUM('12:25'!Q131)</f>
        <v>0</v>
      </c>
      <c r="R131" s="19">
        <f t="shared" si="14"/>
        <v>0</v>
      </c>
      <c r="S131" s="137">
        <f t="shared" si="15"/>
        <v>0</v>
      </c>
      <c r="T131" s="20">
        <v>4</v>
      </c>
      <c r="U131" s="133">
        <f>+SUM('12:25'!U131)</f>
        <v>0</v>
      </c>
      <c r="V131" s="143"/>
      <c r="W131" s="133">
        <f>+SUM('12:25'!W131)</f>
        <v>0</v>
      </c>
      <c r="X131" s="133">
        <f>+SUM('12:25'!X131)</f>
        <v>0</v>
      </c>
      <c r="Y131" s="133">
        <f>+SUM('12:25'!Y131)</f>
        <v>0</v>
      </c>
      <c r="Z131" s="133">
        <f>+SUM('12:25'!Z131)</f>
        <v>0</v>
      </c>
      <c r="AA131" s="133">
        <f>+SUM('12:25'!AA131)</f>
        <v>0</v>
      </c>
      <c r="AB131" s="133">
        <f>+SUM('12:25'!AB131)</f>
        <v>0</v>
      </c>
      <c r="AC131" s="133">
        <f>+SUM('12:25'!AC131)</f>
        <v>0</v>
      </c>
      <c r="AD131" s="1">
        <f t="shared" si="9"/>
        <v>0</v>
      </c>
      <c r="AE131" s="52">
        <v>294.45999999999998</v>
      </c>
      <c r="AF131" s="1">
        <f t="shared" si="10"/>
        <v>0</v>
      </c>
    </row>
    <row r="132" spans="1:32" s="2" customFormat="1" ht="21.95" customHeight="1">
      <c r="A132" s="135">
        <v>300303</v>
      </c>
      <c r="B132" s="135" t="s">
        <v>118</v>
      </c>
      <c r="C132" s="226" t="s">
        <v>130</v>
      </c>
      <c r="D132" s="226" t="s">
        <v>131</v>
      </c>
      <c r="E132" s="139" t="s">
        <v>57</v>
      </c>
      <c r="F132" s="27"/>
      <c r="G132" s="133">
        <f>+SUM('12:25'!G132)</f>
        <v>0</v>
      </c>
      <c r="H132" s="133">
        <f>+SUM('12:25'!H132)</f>
        <v>0</v>
      </c>
      <c r="I132" s="133">
        <f>+SUM('12:25'!I132)</f>
        <v>0</v>
      </c>
      <c r="J132" s="133">
        <f>+SUM('12:25'!J132)</f>
        <v>0</v>
      </c>
      <c r="K132" s="137">
        <f t="shared" si="11"/>
        <v>0</v>
      </c>
      <c r="L132" s="137">
        <f t="shared" si="12"/>
        <v>0</v>
      </c>
      <c r="M132" s="137">
        <v>396.92</v>
      </c>
      <c r="N132" s="137">
        <f>+M132*1000/(113.8*4*15*60)*T132</f>
        <v>4.8442686975200155</v>
      </c>
      <c r="O132" s="133">
        <f>+SUM('12:25'!O132)</f>
        <v>0</v>
      </c>
      <c r="P132" s="137">
        <f t="shared" si="13"/>
        <v>0</v>
      </c>
      <c r="Q132" s="133">
        <f>+SUM('12:25'!Q132)</f>
        <v>0</v>
      </c>
      <c r="R132" s="19">
        <f t="shared" si="14"/>
        <v>0</v>
      </c>
      <c r="S132" s="137">
        <f t="shared" si="15"/>
        <v>0</v>
      </c>
      <c r="T132" s="20">
        <v>5</v>
      </c>
      <c r="U132" s="133">
        <f>+SUM('12:25'!U132)</f>
        <v>0</v>
      </c>
      <c r="V132" s="143" t="str">
        <f t="array" ref="V132">IF(ISERROR(L132/K132),"",L132/K132)</f>
        <v/>
      </c>
      <c r="W132" s="133">
        <f>+SUM('12:25'!W132)</f>
        <v>0</v>
      </c>
      <c r="X132" s="133">
        <f>+SUM('12:25'!X132)</f>
        <v>0</v>
      </c>
      <c r="Y132" s="133">
        <f>+SUM('12:25'!Y132)</f>
        <v>0</v>
      </c>
      <c r="Z132" s="133">
        <f>+SUM('12:25'!Z132)</f>
        <v>0</v>
      </c>
      <c r="AA132" s="133">
        <f>+SUM('12:25'!AA132)</f>
        <v>0</v>
      </c>
      <c r="AB132" s="133">
        <f>+SUM('12:25'!AB132)</f>
        <v>0</v>
      </c>
      <c r="AC132" s="133">
        <f>+SUM('12:25'!AC132)</f>
        <v>0</v>
      </c>
      <c r="AD132" s="1">
        <f t="shared" si="9"/>
        <v>0</v>
      </c>
      <c r="AE132" s="52">
        <v>275.69</v>
      </c>
      <c r="AF132" s="1">
        <f t="shared" si="10"/>
        <v>0</v>
      </c>
    </row>
    <row r="133" spans="1:32" s="2" customFormat="1" ht="21.95" customHeight="1">
      <c r="A133" s="135">
        <v>300302</v>
      </c>
      <c r="B133" s="135" t="s">
        <v>118</v>
      </c>
      <c r="C133" s="226" t="s">
        <v>130</v>
      </c>
      <c r="D133" s="226" t="s">
        <v>131</v>
      </c>
      <c r="E133" s="139" t="s">
        <v>117</v>
      </c>
      <c r="F133" s="27"/>
      <c r="G133" s="133">
        <f>+SUM('12:25'!G133)</f>
        <v>0</v>
      </c>
      <c r="H133" s="133">
        <f>+SUM('12:25'!H133)</f>
        <v>0</v>
      </c>
      <c r="I133" s="133">
        <f>+SUM('12:25'!I133)</f>
        <v>0</v>
      </c>
      <c r="J133" s="133">
        <f>+SUM('12:25'!J133)</f>
        <v>0</v>
      </c>
      <c r="K133" s="137">
        <f t="shared" si="11"/>
        <v>0</v>
      </c>
      <c r="L133" s="137">
        <f t="shared" si="12"/>
        <v>0</v>
      </c>
      <c r="M133" s="137">
        <v>396.06</v>
      </c>
      <c r="N133" s="137">
        <f>+M133*1000/(113.8*4*15*60)*T133</f>
        <v>4.8337727006444053</v>
      </c>
      <c r="O133" s="133">
        <f>+SUM('12:25'!O133)</f>
        <v>0</v>
      </c>
      <c r="P133" s="137">
        <f t="shared" si="13"/>
        <v>0</v>
      </c>
      <c r="Q133" s="133">
        <f>+SUM('12:25'!Q133)</f>
        <v>0</v>
      </c>
      <c r="R133" s="19">
        <f t="shared" si="14"/>
        <v>0</v>
      </c>
      <c r="S133" s="137">
        <f t="shared" si="15"/>
        <v>0</v>
      </c>
      <c r="T133" s="20">
        <v>5</v>
      </c>
      <c r="U133" s="133">
        <f>+SUM('12:25'!U133)</f>
        <v>0</v>
      </c>
      <c r="V133" s="143" t="str">
        <f t="array" ref="V133">IF(ISERROR(L133/K133),"",L133/K133)</f>
        <v/>
      </c>
      <c r="W133" s="133">
        <f>+SUM('12:25'!W133)</f>
        <v>0</v>
      </c>
      <c r="X133" s="133">
        <f>+SUM('12:25'!X133)</f>
        <v>0</v>
      </c>
      <c r="Y133" s="133">
        <f>+SUM('12:25'!Y133)</f>
        <v>0</v>
      </c>
      <c r="Z133" s="133">
        <f>+SUM('12:25'!Z133)</f>
        <v>0</v>
      </c>
      <c r="AA133" s="133">
        <f>+SUM('12:25'!AA133)</f>
        <v>0</v>
      </c>
      <c r="AB133" s="133">
        <f>+SUM('12:25'!AB133)</f>
        <v>0</v>
      </c>
      <c r="AC133" s="133">
        <f>+SUM('12:25'!AC133)</f>
        <v>0</v>
      </c>
      <c r="AD133" s="1">
        <f t="shared" si="9"/>
        <v>0</v>
      </c>
      <c r="AE133" s="52">
        <v>275.69</v>
      </c>
      <c r="AF133" s="1">
        <f t="shared" si="10"/>
        <v>0</v>
      </c>
    </row>
    <row r="134" spans="1:32" s="2" customFormat="1" ht="21.95" customHeight="1">
      <c r="A134" s="135">
        <v>300301</v>
      </c>
      <c r="B134" s="135" t="s">
        <v>118</v>
      </c>
      <c r="C134" s="226" t="s">
        <v>130</v>
      </c>
      <c r="D134" s="226" t="s">
        <v>131</v>
      </c>
      <c r="E134" s="139" t="s">
        <v>132</v>
      </c>
      <c r="F134" s="27"/>
      <c r="G134" s="133">
        <f>+SUM('12:25'!G134)</f>
        <v>0</v>
      </c>
      <c r="H134" s="133">
        <f>+SUM('12:25'!H134)</f>
        <v>0</v>
      </c>
      <c r="I134" s="133">
        <f>+SUM('12:25'!I134)</f>
        <v>0</v>
      </c>
      <c r="J134" s="133">
        <f>+SUM('12:25'!J134)</f>
        <v>0</v>
      </c>
      <c r="K134" s="137">
        <f t="shared" si="11"/>
        <v>0</v>
      </c>
      <c r="L134" s="137">
        <f t="shared" si="12"/>
        <v>0</v>
      </c>
      <c r="M134" s="137">
        <v>401.25</v>
      </c>
      <c r="N134" s="137">
        <f>+M134*1000/(113.8*4*15*60)*T134</f>
        <v>4.8971148213239601</v>
      </c>
      <c r="O134" s="133">
        <f>+SUM('12:25'!O134)</f>
        <v>0</v>
      </c>
      <c r="P134" s="137">
        <f t="shared" si="13"/>
        <v>0</v>
      </c>
      <c r="Q134" s="133">
        <f>+SUM('12:25'!Q134)</f>
        <v>0</v>
      </c>
      <c r="R134" s="19">
        <f t="shared" si="14"/>
        <v>0</v>
      </c>
      <c r="S134" s="137">
        <f t="shared" si="15"/>
        <v>0</v>
      </c>
      <c r="T134" s="20">
        <v>5</v>
      </c>
      <c r="U134" s="133">
        <f>+SUM('12:25'!U134)</f>
        <v>0</v>
      </c>
      <c r="V134" s="143" t="str">
        <f t="array" ref="V134">IF(ISERROR(L134/K134),"",L134/K134)</f>
        <v/>
      </c>
      <c r="W134" s="133">
        <f>+SUM('12:25'!W134)</f>
        <v>0</v>
      </c>
      <c r="X134" s="133">
        <f>+SUM('12:25'!X134)</f>
        <v>0</v>
      </c>
      <c r="Y134" s="133">
        <f>+SUM('12:25'!Y134)</f>
        <v>0</v>
      </c>
      <c r="Z134" s="133">
        <f>+SUM('12:25'!Z134)</f>
        <v>0</v>
      </c>
      <c r="AA134" s="133">
        <f>+SUM('12:25'!AA134)</f>
        <v>0</v>
      </c>
      <c r="AB134" s="133">
        <f>+SUM('12:25'!AB134)</f>
        <v>0</v>
      </c>
      <c r="AC134" s="133">
        <f>+SUM('12:25'!AC134)</f>
        <v>0</v>
      </c>
      <c r="AD134" s="1">
        <f t="shared" si="9"/>
        <v>0</v>
      </c>
      <c r="AE134" s="52">
        <v>275.69</v>
      </c>
      <c r="AF134" s="1">
        <f t="shared" si="10"/>
        <v>0</v>
      </c>
    </row>
    <row r="135" spans="1:32" s="2" customFormat="1" ht="21.95" customHeight="1">
      <c r="A135" s="140">
        <v>300304</v>
      </c>
      <c r="B135" s="135" t="s">
        <v>118</v>
      </c>
      <c r="C135" s="226" t="s">
        <v>130</v>
      </c>
      <c r="D135" s="226"/>
      <c r="E135" s="139" t="s">
        <v>133</v>
      </c>
      <c r="F135" s="27"/>
      <c r="G135" s="133">
        <f>+SUM('12:25'!G135)</f>
        <v>0</v>
      </c>
      <c r="H135" s="133">
        <f>+SUM('12:25'!H135)</f>
        <v>0</v>
      </c>
      <c r="I135" s="133">
        <f>+SUM('12:25'!I135)</f>
        <v>0</v>
      </c>
      <c r="J135" s="133">
        <f>+SUM('12:25'!J135)</f>
        <v>0</v>
      </c>
      <c r="K135" s="137">
        <f t="shared" si="11"/>
        <v>0</v>
      </c>
      <c r="L135" s="137">
        <f t="shared" si="12"/>
        <v>0</v>
      </c>
      <c r="M135" s="137">
        <v>401.25</v>
      </c>
      <c r="N135" s="137">
        <f>+M135*1000/(113.8*4*15*60)*T135</f>
        <v>4.8971148213239601</v>
      </c>
      <c r="O135" s="133">
        <f>+SUM('12:25'!O135)</f>
        <v>0</v>
      </c>
      <c r="P135" s="137">
        <f t="shared" si="13"/>
        <v>0</v>
      </c>
      <c r="Q135" s="133">
        <f>+SUM('12:25'!Q135)</f>
        <v>0</v>
      </c>
      <c r="R135" s="19">
        <f t="shared" si="14"/>
        <v>0</v>
      </c>
      <c r="S135" s="137">
        <f t="shared" si="15"/>
        <v>0</v>
      </c>
      <c r="T135" s="20">
        <v>5</v>
      </c>
      <c r="U135" s="133">
        <f>+SUM('12:25'!U135)</f>
        <v>0</v>
      </c>
      <c r="V135" s="143" t="str">
        <f t="array" ref="V135">IF(ISERROR(L135/K135),"",L135/K135)</f>
        <v/>
      </c>
      <c r="W135" s="133">
        <f>+SUM('12:25'!W135)</f>
        <v>0</v>
      </c>
      <c r="X135" s="133">
        <f>+SUM('12:25'!X135)</f>
        <v>0</v>
      </c>
      <c r="Y135" s="133">
        <f>+SUM('12:25'!Y135)</f>
        <v>0</v>
      </c>
      <c r="Z135" s="133">
        <f>+SUM('12:25'!Z135)</f>
        <v>0</v>
      </c>
      <c r="AA135" s="133">
        <f>+SUM('12:25'!AA135)</f>
        <v>0</v>
      </c>
      <c r="AB135" s="133">
        <f>+SUM('12:25'!AB135)</f>
        <v>0</v>
      </c>
      <c r="AC135" s="133">
        <f>+SUM('12:25'!AC135)</f>
        <v>0</v>
      </c>
      <c r="AD135" s="1">
        <f t="shared" ref="AD135:AD198" si="19">+L135/1000</f>
        <v>0</v>
      </c>
      <c r="AE135" s="52">
        <v>275.69</v>
      </c>
      <c r="AF135" s="1">
        <f t="shared" ref="AF135:AF198" si="20">+AD135*AE135</f>
        <v>0</v>
      </c>
    </row>
    <row r="136" spans="1:32" s="2" customFormat="1" ht="21.95" customHeight="1">
      <c r="A136" s="140">
        <v>300300</v>
      </c>
      <c r="B136" s="135" t="s">
        <v>118</v>
      </c>
      <c r="C136" s="226" t="s">
        <v>130</v>
      </c>
      <c r="D136" s="226" t="s">
        <v>131</v>
      </c>
      <c r="E136" s="139" t="s">
        <v>54</v>
      </c>
      <c r="F136" s="27"/>
      <c r="G136" s="133">
        <f>+SUM('12:25'!G136)</f>
        <v>0</v>
      </c>
      <c r="H136" s="133">
        <f>+SUM('12:25'!H136)</f>
        <v>0</v>
      </c>
      <c r="I136" s="133">
        <f>+SUM('12:25'!I136)</f>
        <v>0</v>
      </c>
      <c r="J136" s="133">
        <f>+SUM('12:25'!J136)</f>
        <v>0</v>
      </c>
      <c r="K136" s="137">
        <f t="shared" si="11"/>
        <v>0</v>
      </c>
      <c r="L136" s="137">
        <f t="shared" si="12"/>
        <v>0</v>
      </c>
      <c r="M136" s="137">
        <v>399.07</v>
      </c>
      <c r="N136" s="137">
        <f>+M136*1000/(113.8*4*15*60)*T136</f>
        <v>4.8705086897090411</v>
      </c>
      <c r="O136" s="133">
        <f>+SUM('12:25'!O136)</f>
        <v>0</v>
      </c>
      <c r="P136" s="137">
        <f t="shared" si="13"/>
        <v>0</v>
      </c>
      <c r="Q136" s="133">
        <f>+SUM('12:25'!Q136)</f>
        <v>0</v>
      </c>
      <c r="R136" s="19">
        <f t="shared" si="14"/>
        <v>0</v>
      </c>
      <c r="S136" s="137">
        <f t="shared" si="15"/>
        <v>0</v>
      </c>
      <c r="T136" s="20">
        <v>5</v>
      </c>
      <c r="U136" s="133">
        <f>+SUM('12:25'!U136)</f>
        <v>0</v>
      </c>
      <c r="V136" s="143" t="str">
        <f t="array" ref="V136">IF(ISERROR(L136/K136),"",L136/K136)</f>
        <v/>
      </c>
      <c r="W136" s="133">
        <f>+SUM('12:25'!W136)</f>
        <v>0</v>
      </c>
      <c r="X136" s="133">
        <f>+SUM('12:25'!X136)</f>
        <v>0</v>
      </c>
      <c r="Y136" s="133">
        <f>+SUM('12:25'!Y136)</f>
        <v>0</v>
      </c>
      <c r="Z136" s="133">
        <f>+SUM('12:25'!Z136)</f>
        <v>0</v>
      </c>
      <c r="AA136" s="133">
        <f>+SUM('12:25'!AA136)</f>
        <v>0</v>
      </c>
      <c r="AB136" s="133">
        <f>+SUM('12:25'!AB136)</f>
        <v>0</v>
      </c>
      <c r="AC136" s="133">
        <f>+SUM('12:25'!AC136)</f>
        <v>0</v>
      </c>
      <c r="AD136" s="1">
        <f t="shared" si="19"/>
        <v>0</v>
      </c>
      <c r="AE136" s="52">
        <v>275.69</v>
      </c>
      <c r="AF136" s="1">
        <f t="shared" si="20"/>
        <v>0</v>
      </c>
    </row>
    <row r="137" spans="1:32" s="2" customFormat="1" ht="21.95" customHeight="1">
      <c r="A137" s="140">
        <v>300085</v>
      </c>
      <c r="B137" s="135">
        <v>6503</v>
      </c>
      <c r="C137" s="226" t="s">
        <v>134</v>
      </c>
      <c r="D137" s="226" t="s">
        <v>131</v>
      </c>
      <c r="E137" s="139" t="s">
        <v>135</v>
      </c>
      <c r="F137" s="27"/>
      <c r="G137" s="133">
        <f>+SUM('12:25'!G137)</f>
        <v>0</v>
      </c>
      <c r="H137" s="133">
        <f>+SUM('12:25'!H137)</f>
        <v>0</v>
      </c>
      <c r="I137" s="133">
        <f>+SUM('12:25'!I137)</f>
        <v>0</v>
      </c>
      <c r="J137" s="133">
        <f>+SUM('12:25'!J137)</f>
        <v>0</v>
      </c>
      <c r="K137" s="137">
        <f t="shared" si="11"/>
        <v>0</v>
      </c>
      <c r="L137" s="137">
        <f t="shared" si="12"/>
        <v>0</v>
      </c>
      <c r="M137" s="137">
        <v>394.3</v>
      </c>
      <c r="N137" s="137">
        <f>+M137*1000/(104.2*4*15*60)*T137</f>
        <v>6.3067818298144598</v>
      </c>
      <c r="O137" s="133">
        <f>+SUM('12:25'!O137)</f>
        <v>0</v>
      </c>
      <c r="P137" s="137">
        <f t="shared" si="13"/>
        <v>0</v>
      </c>
      <c r="Q137" s="133">
        <f>+SUM('12:25'!Q137)</f>
        <v>0</v>
      </c>
      <c r="R137" s="19">
        <f t="shared" si="14"/>
        <v>0</v>
      </c>
      <c r="S137" s="137">
        <f t="shared" si="15"/>
        <v>0</v>
      </c>
      <c r="T137" s="20">
        <v>6</v>
      </c>
      <c r="U137" s="133">
        <f>+SUM('12:25'!U137)</f>
        <v>0</v>
      </c>
      <c r="V137" s="143" t="str">
        <f t="array" ref="V137">IF(ISERROR(L137/K137),"",L137/K137)</f>
        <v/>
      </c>
      <c r="W137" s="133">
        <f>+SUM('12:25'!W137)</f>
        <v>0</v>
      </c>
      <c r="X137" s="133">
        <f>+SUM('12:25'!X137)</f>
        <v>0</v>
      </c>
      <c r="Y137" s="133">
        <f>+SUM('12:25'!Y137)</f>
        <v>0</v>
      </c>
      <c r="Z137" s="133">
        <f>+SUM('12:25'!Z137)</f>
        <v>0</v>
      </c>
      <c r="AA137" s="133">
        <f>+SUM('12:25'!AA137)</f>
        <v>0</v>
      </c>
      <c r="AB137" s="133">
        <f>+SUM('12:25'!AB137)</f>
        <v>0</v>
      </c>
      <c r="AC137" s="133">
        <f>+SUM('12:25'!AC137)</f>
        <v>0</v>
      </c>
      <c r="AD137" s="1">
        <f t="shared" si="19"/>
        <v>0</v>
      </c>
      <c r="AE137" s="52">
        <v>327.85</v>
      </c>
      <c r="AF137" s="1">
        <f t="shared" si="20"/>
        <v>0</v>
      </c>
    </row>
    <row r="138" spans="1:32" s="2" customFormat="1" ht="21.95" customHeight="1">
      <c r="A138" s="140">
        <v>300087</v>
      </c>
      <c r="B138" s="135" t="s">
        <v>118</v>
      </c>
      <c r="C138" s="226" t="s">
        <v>134</v>
      </c>
      <c r="D138" s="226" t="s">
        <v>131</v>
      </c>
      <c r="E138" s="139" t="s">
        <v>80</v>
      </c>
      <c r="F138" s="27"/>
      <c r="G138" s="133">
        <f>+SUM('12:25'!G138)</f>
        <v>0</v>
      </c>
      <c r="H138" s="133">
        <f>+SUM('12:25'!H138)</f>
        <v>0</v>
      </c>
      <c r="I138" s="133">
        <f>+SUM('12:25'!I138)</f>
        <v>0</v>
      </c>
      <c r="J138" s="133">
        <f>+SUM('12:25'!J138)</f>
        <v>0</v>
      </c>
      <c r="K138" s="137">
        <f t="shared" si="11"/>
        <v>0</v>
      </c>
      <c r="L138" s="137">
        <f t="shared" si="12"/>
        <v>0</v>
      </c>
      <c r="M138" s="137">
        <v>380.1</v>
      </c>
      <c r="N138" s="137">
        <f>+M138*1000/(104.2*4*16*60)*T138</f>
        <v>4.7497300863723604</v>
      </c>
      <c r="O138" s="133">
        <f>+SUM('12:25'!O138)</f>
        <v>0</v>
      </c>
      <c r="P138" s="137">
        <f t="shared" si="13"/>
        <v>0</v>
      </c>
      <c r="Q138" s="133">
        <f>+SUM('12:25'!Q138)</f>
        <v>0</v>
      </c>
      <c r="R138" s="19">
        <f t="shared" si="14"/>
        <v>0</v>
      </c>
      <c r="S138" s="137">
        <f t="shared" si="15"/>
        <v>0</v>
      </c>
      <c r="T138" s="20">
        <v>5</v>
      </c>
      <c r="U138" s="133">
        <f>+SUM('12:25'!U138)</f>
        <v>0</v>
      </c>
      <c r="V138" s="143" t="str">
        <f t="array" ref="V138">IF(ISERROR(L138/K138),"",L138/K138)</f>
        <v/>
      </c>
      <c r="W138" s="133">
        <f>+SUM('12:25'!W138)</f>
        <v>0</v>
      </c>
      <c r="X138" s="133">
        <f>+SUM('12:25'!X138)</f>
        <v>0</v>
      </c>
      <c r="Y138" s="133">
        <f>+SUM('12:25'!Y138)</f>
        <v>0</v>
      </c>
      <c r="Z138" s="133">
        <f>+SUM('12:25'!Z138)</f>
        <v>0</v>
      </c>
      <c r="AA138" s="133">
        <f>+SUM('12:25'!AA138)</f>
        <v>0</v>
      </c>
      <c r="AB138" s="133">
        <f>+SUM('12:25'!AB138)</f>
        <v>0</v>
      </c>
      <c r="AC138" s="133">
        <f>+SUM('12:25'!AC138)</f>
        <v>0</v>
      </c>
      <c r="AD138" s="1">
        <f t="shared" si="19"/>
        <v>0</v>
      </c>
      <c r="AE138" s="52">
        <v>281.02</v>
      </c>
      <c r="AF138" s="1">
        <f t="shared" si="20"/>
        <v>0</v>
      </c>
    </row>
    <row r="139" spans="1:32" s="2" customFormat="1" ht="21" customHeight="1">
      <c r="A139" s="140">
        <v>300387</v>
      </c>
      <c r="B139" s="135" t="s">
        <v>136</v>
      </c>
      <c r="C139" s="237" t="s">
        <v>137</v>
      </c>
      <c r="D139" s="238"/>
      <c r="E139" s="139" t="s">
        <v>57</v>
      </c>
      <c r="F139" s="27"/>
      <c r="G139" s="133">
        <f>+SUM('12:25'!G139)</f>
        <v>0</v>
      </c>
      <c r="H139" s="133">
        <f>+SUM('12:25'!H139)</f>
        <v>0</v>
      </c>
      <c r="I139" s="133">
        <f>+SUM('12:25'!I139)</f>
        <v>0</v>
      </c>
      <c r="J139" s="133">
        <f>+SUM('12:25'!J139)</f>
        <v>0</v>
      </c>
      <c r="K139" s="137">
        <f t="shared" si="11"/>
        <v>0</v>
      </c>
      <c r="L139" s="137">
        <f t="shared" si="12"/>
        <v>0</v>
      </c>
      <c r="M139" s="137">
        <v>352.29</v>
      </c>
      <c r="N139" s="137">
        <f>+M139*1000/(104.2*4*16*60)*T139</f>
        <v>4.4022162907869484</v>
      </c>
      <c r="O139" s="133">
        <f>+SUM('12:25'!O139)</f>
        <v>0</v>
      </c>
      <c r="P139" s="137">
        <f t="shared" si="13"/>
        <v>0</v>
      </c>
      <c r="Q139" s="133">
        <f>+SUM('12:25'!Q139)</f>
        <v>0</v>
      </c>
      <c r="R139" s="19">
        <f t="shared" si="14"/>
        <v>0</v>
      </c>
      <c r="S139" s="137">
        <f t="shared" si="15"/>
        <v>0</v>
      </c>
      <c r="T139" s="20">
        <v>5</v>
      </c>
      <c r="U139" s="133">
        <f>+SUM('12:25'!U139)</f>
        <v>0</v>
      </c>
      <c r="V139" s="143" t="str">
        <f t="array" ref="V139">IF(ISERROR(L139/K139),"",L139/K139)</f>
        <v/>
      </c>
      <c r="W139" s="133">
        <f>+SUM('12:25'!W139)</f>
        <v>0</v>
      </c>
      <c r="X139" s="133">
        <f>+SUM('12:25'!X139)</f>
        <v>0</v>
      </c>
      <c r="Y139" s="133">
        <f>+SUM('12:25'!Y139)</f>
        <v>0</v>
      </c>
      <c r="Z139" s="133">
        <f>+SUM('12:25'!Z139)</f>
        <v>0</v>
      </c>
      <c r="AA139" s="133">
        <f>+SUM('12:25'!AA139)</f>
        <v>0</v>
      </c>
      <c r="AB139" s="133">
        <f>+SUM('12:25'!AB139)</f>
        <v>0</v>
      </c>
      <c r="AC139" s="133">
        <f>+SUM('12:25'!AC139)</f>
        <v>0</v>
      </c>
      <c r="AD139" s="1">
        <f t="shared" si="19"/>
        <v>0</v>
      </c>
      <c r="AE139" s="52"/>
      <c r="AF139" s="1">
        <f t="shared" si="20"/>
        <v>0</v>
      </c>
    </row>
    <row r="140" spans="1:32" s="2" customFormat="1" ht="21.95" customHeight="1">
      <c r="A140" s="140">
        <v>300388</v>
      </c>
      <c r="B140" s="135" t="s">
        <v>138</v>
      </c>
      <c r="C140" s="237" t="s">
        <v>137</v>
      </c>
      <c r="D140" s="238"/>
      <c r="E140" s="139" t="s">
        <v>117</v>
      </c>
      <c r="F140" s="27"/>
      <c r="G140" s="133">
        <f>+SUM('12:25'!G140)</f>
        <v>0</v>
      </c>
      <c r="H140" s="133">
        <f>+SUM('12:25'!H140)</f>
        <v>0</v>
      </c>
      <c r="I140" s="133">
        <f>+SUM('12:25'!I140)</f>
        <v>0</v>
      </c>
      <c r="J140" s="133">
        <f>+SUM('12:25'!J140)</f>
        <v>0</v>
      </c>
      <c r="K140" s="137">
        <f t="shared" si="11"/>
        <v>0</v>
      </c>
      <c r="L140" s="137">
        <f t="shared" si="12"/>
        <v>0</v>
      </c>
      <c r="M140" s="137">
        <v>352.29</v>
      </c>
      <c r="N140" s="137">
        <f>+M140*1000/(104.2*4*16*60)*T140</f>
        <v>4.4022162907869484</v>
      </c>
      <c r="O140" s="133">
        <f>+SUM('12:25'!O140)</f>
        <v>0</v>
      </c>
      <c r="P140" s="137">
        <f t="shared" si="13"/>
        <v>0</v>
      </c>
      <c r="Q140" s="133">
        <f>+SUM('12:25'!Q140)</f>
        <v>0</v>
      </c>
      <c r="R140" s="19">
        <f t="shared" si="14"/>
        <v>0</v>
      </c>
      <c r="S140" s="137">
        <f t="shared" si="15"/>
        <v>0</v>
      </c>
      <c r="T140" s="20">
        <v>5</v>
      </c>
      <c r="U140" s="133">
        <f>+SUM('12:25'!U140)</f>
        <v>0</v>
      </c>
      <c r="V140" s="143" t="str">
        <f t="array" ref="V140">IF(ISERROR(L140/K140),"",L140/K140)</f>
        <v/>
      </c>
      <c r="W140" s="133">
        <f>+SUM('12:25'!W140)</f>
        <v>0</v>
      </c>
      <c r="X140" s="133">
        <f>+SUM('12:25'!X140)</f>
        <v>0</v>
      </c>
      <c r="Y140" s="133">
        <f>+SUM('12:25'!Y140)</f>
        <v>0</v>
      </c>
      <c r="Z140" s="133">
        <f>+SUM('12:25'!Z140)</f>
        <v>0</v>
      </c>
      <c r="AA140" s="133">
        <f>+SUM('12:25'!AA140)</f>
        <v>0</v>
      </c>
      <c r="AB140" s="133">
        <f>+SUM('12:25'!AB140)</f>
        <v>0</v>
      </c>
      <c r="AC140" s="133">
        <f>+SUM('12:25'!AC140)</f>
        <v>0</v>
      </c>
      <c r="AD140" s="1">
        <f t="shared" si="19"/>
        <v>0</v>
      </c>
      <c r="AE140" s="52">
        <v>234.18</v>
      </c>
      <c r="AF140" s="1">
        <f t="shared" si="20"/>
        <v>0</v>
      </c>
    </row>
    <row r="141" spans="1:32" s="2" customFormat="1" ht="21.95" customHeight="1">
      <c r="A141" s="140">
        <v>300123</v>
      </c>
      <c r="B141" s="135" t="s">
        <v>118</v>
      </c>
      <c r="C141" s="226" t="s">
        <v>139</v>
      </c>
      <c r="D141" s="226" t="s">
        <v>140</v>
      </c>
      <c r="E141" s="139" t="s">
        <v>135</v>
      </c>
      <c r="F141" s="27"/>
      <c r="G141" s="133">
        <f>+SUM('12:25'!G141)</f>
        <v>3</v>
      </c>
      <c r="H141" s="133">
        <f>+SUM('12:25'!H141)</f>
        <v>0</v>
      </c>
      <c r="I141" s="133">
        <f>+SUM('12:25'!I141)</f>
        <v>3</v>
      </c>
      <c r="J141" s="133">
        <f>+SUM('12:25'!J141)</f>
        <v>0</v>
      </c>
      <c r="K141" s="137">
        <f t="shared" si="11"/>
        <v>1671</v>
      </c>
      <c r="L141" s="137">
        <f t="shared" si="12"/>
        <v>1671</v>
      </c>
      <c r="M141" s="137">
        <v>557</v>
      </c>
      <c r="N141" s="137">
        <f>+M141*1000/(126.5*4*15*60)*T141</f>
        <v>6.1155028546332888</v>
      </c>
      <c r="O141" s="133">
        <f>+SUM('12:25'!O141)</f>
        <v>0</v>
      </c>
      <c r="P141" s="137">
        <f t="shared" si="13"/>
        <v>18.346508563899867</v>
      </c>
      <c r="Q141" s="133">
        <f>+SUM('12:25'!Q141)</f>
        <v>4</v>
      </c>
      <c r="R141" s="19">
        <f t="shared" si="14"/>
        <v>24</v>
      </c>
      <c r="S141" s="137">
        <f t="shared" si="15"/>
        <v>5.6534914361001327</v>
      </c>
      <c r="T141" s="20">
        <v>5</v>
      </c>
      <c r="U141" s="133">
        <f>+SUM('12:25'!U141)</f>
        <v>6</v>
      </c>
      <c r="V141" s="143">
        <f t="array" ref="V141">IF(ISERROR(L141/K141),"",L141/K141)</f>
        <v>1</v>
      </c>
      <c r="W141" s="133">
        <f>+SUM('12:25'!W141)</f>
        <v>0</v>
      </c>
      <c r="X141" s="133">
        <f>+SUM('12:25'!X141)</f>
        <v>0</v>
      </c>
      <c r="Y141" s="133">
        <f>+SUM('12:25'!Y141)</f>
        <v>0</v>
      </c>
      <c r="Z141" s="133">
        <f>+SUM('12:25'!Z141)</f>
        <v>0</v>
      </c>
      <c r="AA141" s="133">
        <f>+SUM('12:25'!AA141)</f>
        <v>7</v>
      </c>
      <c r="AB141" s="133">
        <f>+SUM('12:25'!AB141)</f>
        <v>0</v>
      </c>
      <c r="AC141" s="133">
        <f>+SUM('12:25'!AC141)</f>
        <v>0</v>
      </c>
      <c r="AD141" s="1">
        <f t="shared" si="19"/>
        <v>1.671</v>
      </c>
      <c r="AE141" s="52">
        <v>248.01</v>
      </c>
      <c r="AF141" s="1">
        <f t="shared" si="20"/>
        <v>414.42471</v>
      </c>
    </row>
    <row r="142" spans="1:32" s="2" customFormat="1" ht="21.95" customHeight="1">
      <c r="A142" s="140">
        <v>300270</v>
      </c>
      <c r="B142" s="135" t="s">
        <v>118</v>
      </c>
      <c r="C142" s="226" t="s">
        <v>141</v>
      </c>
      <c r="D142" s="226"/>
      <c r="E142" s="139" t="s">
        <v>142</v>
      </c>
      <c r="F142" s="27"/>
      <c r="G142" s="133">
        <f>+SUM('12:25'!G142)</f>
        <v>0</v>
      </c>
      <c r="H142" s="133">
        <f>+SUM('12:25'!H142)</f>
        <v>0</v>
      </c>
      <c r="I142" s="133">
        <f>+SUM('12:25'!I142)</f>
        <v>0</v>
      </c>
      <c r="J142" s="133">
        <f>+SUM('12:25'!J142)</f>
        <v>0</v>
      </c>
      <c r="K142" s="137">
        <f t="shared" si="11"/>
        <v>0</v>
      </c>
      <c r="L142" s="137">
        <f t="shared" si="12"/>
        <v>0</v>
      </c>
      <c r="M142" s="137">
        <v>485.7</v>
      </c>
      <c r="N142" s="137">
        <f>+M142*1000/(126.5*4*15*60)*T142</f>
        <v>4.2661396574440049</v>
      </c>
      <c r="O142" s="133">
        <f>+SUM('12:25'!O142)</f>
        <v>0</v>
      </c>
      <c r="P142" s="137">
        <f t="shared" si="13"/>
        <v>0</v>
      </c>
      <c r="Q142" s="133">
        <f>+SUM('12:25'!Q142)</f>
        <v>0</v>
      </c>
      <c r="R142" s="19">
        <f t="shared" si="14"/>
        <v>0</v>
      </c>
      <c r="S142" s="137">
        <f t="shared" si="15"/>
        <v>0</v>
      </c>
      <c r="T142" s="20">
        <v>4</v>
      </c>
      <c r="U142" s="133">
        <f>+SUM('12:25'!U142)</f>
        <v>0</v>
      </c>
      <c r="V142" s="143" t="str">
        <f t="array" ref="V142">IF(ISERROR(L142/K142),"",L142/K142)</f>
        <v/>
      </c>
      <c r="W142" s="133">
        <f>+SUM('12:25'!W142)</f>
        <v>0</v>
      </c>
      <c r="X142" s="133">
        <f>+SUM('12:25'!X142)</f>
        <v>0</v>
      </c>
      <c r="Y142" s="133">
        <f>+SUM('12:25'!Y142)</f>
        <v>0</v>
      </c>
      <c r="Z142" s="133">
        <f>+SUM('12:25'!Z142)</f>
        <v>0</v>
      </c>
      <c r="AA142" s="133">
        <f>+SUM('12:25'!AA142)</f>
        <v>0</v>
      </c>
      <c r="AB142" s="133">
        <f>+SUM('12:25'!AB142)</f>
        <v>0</v>
      </c>
      <c r="AC142" s="133">
        <f>+SUM('12:25'!AC142)</f>
        <v>0</v>
      </c>
      <c r="AD142" s="1">
        <f t="shared" si="19"/>
        <v>0</v>
      </c>
      <c r="AE142" s="52">
        <v>197.49</v>
      </c>
      <c r="AF142" s="1">
        <f t="shared" si="20"/>
        <v>0</v>
      </c>
    </row>
    <row r="143" spans="1:32" s="2" customFormat="1" ht="21.95" customHeight="1">
      <c r="A143" s="140">
        <v>300336</v>
      </c>
      <c r="B143" s="135" t="s">
        <v>136</v>
      </c>
      <c r="C143" s="226" t="s">
        <v>143</v>
      </c>
      <c r="D143" s="226"/>
      <c r="E143" s="139" t="s">
        <v>84</v>
      </c>
      <c r="F143" s="27"/>
      <c r="G143" s="133">
        <f>+SUM('12:25'!G143)</f>
        <v>0</v>
      </c>
      <c r="H143" s="133">
        <f>+SUM('12:25'!H143)</f>
        <v>0</v>
      </c>
      <c r="I143" s="133">
        <f>+SUM('12:25'!I143)</f>
        <v>0</v>
      </c>
      <c r="J143" s="133">
        <f>+SUM('12:25'!J143)</f>
        <v>0</v>
      </c>
      <c r="K143" s="137">
        <f t="shared" si="11"/>
        <v>0</v>
      </c>
      <c r="L143" s="137">
        <f t="shared" si="12"/>
        <v>0</v>
      </c>
      <c r="M143" s="137">
        <v>411.4</v>
      </c>
      <c r="N143" s="137">
        <f>+M143*1000/(104.2*4*16*60)*T143</f>
        <v>2.0563419705694179</v>
      </c>
      <c r="O143" s="133">
        <f>+SUM('12:25'!O143)</f>
        <v>0</v>
      </c>
      <c r="P143" s="137">
        <f t="shared" si="13"/>
        <v>0</v>
      </c>
      <c r="Q143" s="133">
        <f>+SUM('12:25'!Q143)</f>
        <v>0</v>
      </c>
      <c r="R143" s="19">
        <f t="shared" si="14"/>
        <v>0</v>
      </c>
      <c r="S143" s="137">
        <f t="shared" si="15"/>
        <v>0</v>
      </c>
      <c r="T143" s="20">
        <v>2</v>
      </c>
      <c r="U143" s="133">
        <f>+SUM('12:25'!U143)</f>
        <v>0</v>
      </c>
      <c r="V143" s="143" t="str">
        <f t="array" ref="V143">IF(ISERROR(L143/K143),"",L143/K143)</f>
        <v/>
      </c>
      <c r="W143" s="133">
        <f>+SUM('12:25'!W143)</f>
        <v>0</v>
      </c>
      <c r="X143" s="133">
        <f>+SUM('12:25'!X143)</f>
        <v>0</v>
      </c>
      <c r="Y143" s="133">
        <f>+SUM('12:25'!Y143)</f>
        <v>0</v>
      </c>
      <c r="Z143" s="133">
        <f>+SUM('12:25'!Z143)</f>
        <v>0</v>
      </c>
      <c r="AA143" s="133">
        <f>+SUM('12:25'!AA143)</f>
        <v>0</v>
      </c>
      <c r="AB143" s="133">
        <f>+SUM('12:25'!AB143)</f>
        <v>0</v>
      </c>
      <c r="AC143" s="133">
        <f>+SUM('12:25'!AC143)</f>
        <v>0</v>
      </c>
      <c r="AD143" s="1">
        <f t="shared" si="19"/>
        <v>0</v>
      </c>
      <c r="AE143" s="52">
        <v>134.26</v>
      </c>
      <c r="AF143" s="1">
        <f t="shared" si="20"/>
        <v>0</v>
      </c>
    </row>
    <row r="144" spans="1:32" s="2" customFormat="1" ht="21.95" customHeight="1">
      <c r="A144" s="140">
        <v>300337</v>
      </c>
      <c r="B144" s="135" t="s">
        <v>138</v>
      </c>
      <c r="C144" s="226" t="s">
        <v>143</v>
      </c>
      <c r="D144" s="226"/>
      <c r="E144" s="139" t="s">
        <v>49</v>
      </c>
      <c r="F144" s="27"/>
      <c r="G144" s="133">
        <f>+SUM('12:25'!G144)</f>
        <v>0</v>
      </c>
      <c r="H144" s="133">
        <f>+SUM('12:25'!H144)</f>
        <v>0</v>
      </c>
      <c r="I144" s="133">
        <f>+SUM('12:25'!I144)</f>
        <v>0</v>
      </c>
      <c r="J144" s="133">
        <f>+SUM('12:25'!J144)</f>
        <v>0</v>
      </c>
      <c r="K144" s="137">
        <f t="shared" si="11"/>
        <v>0</v>
      </c>
      <c r="L144" s="137">
        <f t="shared" si="12"/>
        <v>0</v>
      </c>
      <c r="M144" s="137">
        <v>411.4</v>
      </c>
      <c r="N144" s="137">
        <f>+M144*1000/(104.2*4*16*60)*T144</f>
        <v>2.0563419705694179</v>
      </c>
      <c r="O144" s="133">
        <f>+SUM('12:25'!O144)</f>
        <v>0</v>
      </c>
      <c r="P144" s="137">
        <f t="shared" si="13"/>
        <v>0</v>
      </c>
      <c r="Q144" s="133">
        <f>+SUM('12:25'!Q144)</f>
        <v>0</v>
      </c>
      <c r="R144" s="19">
        <f t="shared" si="14"/>
        <v>0</v>
      </c>
      <c r="S144" s="137">
        <f t="shared" si="15"/>
        <v>0</v>
      </c>
      <c r="T144" s="20">
        <v>2</v>
      </c>
      <c r="U144" s="133">
        <f>+SUM('12:25'!U144)</f>
        <v>0</v>
      </c>
      <c r="V144" s="143"/>
      <c r="W144" s="133">
        <f>+SUM('12:25'!W144)</f>
        <v>0</v>
      </c>
      <c r="X144" s="133">
        <f>+SUM('12:25'!X144)</f>
        <v>0</v>
      </c>
      <c r="Y144" s="133">
        <f>+SUM('12:25'!Y144)</f>
        <v>0</v>
      </c>
      <c r="Z144" s="133">
        <f>+SUM('12:25'!Z144)</f>
        <v>0</v>
      </c>
      <c r="AA144" s="133">
        <f>+SUM('12:25'!AA144)</f>
        <v>0</v>
      </c>
      <c r="AB144" s="133">
        <f>+SUM('12:25'!AB144)</f>
        <v>0</v>
      </c>
      <c r="AC144" s="133">
        <f>+SUM('12:25'!AC144)</f>
        <v>0</v>
      </c>
      <c r="AD144" s="1">
        <f t="shared" si="19"/>
        <v>0</v>
      </c>
      <c r="AE144" s="52">
        <v>134.26</v>
      </c>
      <c r="AF144" s="1">
        <f t="shared" si="20"/>
        <v>0</v>
      </c>
    </row>
    <row r="145" spans="1:32" s="2" customFormat="1" ht="21.95" customHeight="1">
      <c r="A145" s="140">
        <v>300338</v>
      </c>
      <c r="B145" s="135" t="s">
        <v>144</v>
      </c>
      <c r="C145" s="226" t="s">
        <v>143</v>
      </c>
      <c r="D145" s="226"/>
      <c r="E145" s="139" t="s">
        <v>85</v>
      </c>
      <c r="F145" s="27"/>
      <c r="G145" s="133">
        <f>+SUM('12:25'!G145)</f>
        <v>0</v>
      </c>
      <c r="H145" s="133">
        <f>+SUM('12:25'!H145)</f>
        <v>0</v>
      </c>
      <c r="I145" s="133">
        <f>+SUM('12:25'!I145)</f>
        <v>0</v>
      </c>
      <c r="J145" s="133">
        <f>+SUM('12:25'!J145)</f>
        <v>0</v>
      </c>
      <c r="K145" s="137">
        <f t="shared" si="11"/>
        <v>0</v>
      </c>
      <c r="L145" s="137">
        <f t="shared" si="12"/>
        <v>0</v>
      </c>
      <c r="M145" s="137">
        <v>411.4</v>
      </c>
      <c r="N145" s="137">
        <f>+M145*1000/(104.2*4*16*60)*T145</f>
        <v>2.0563419705694179</v>
      </c>
      <c r="O145" s="133">
        <f>+SUM('12:25'!O145)</f>
        <v>0</v>
      </c>
      <c r="P145" s="137">
        <f t="shared" si="13"/>
        <v>0</v>
      </c>
      <c r="Q145" s="133">
        <f>+SUM('12:25'!Q145)</f>
        <v>0</v>
      </c>
      <c r="R145" s="19">
        <f t="shared" si="14"/>
        <v>0</v>
      </c>
      <c r="S145" s="137">
        <f t="shared" si="15"/>
        <v>0</v>
      </c>
      <c r="T145" s="20">
        <v>2</v>
      </c>
      <c r="U145" s="133">
        <f>+SUM('12:25'!U145)</f>
        <v>0</v>
      </c>
      <c r="V145" s="143"/>
      <c r="W145" s="133">
        <f>+SUM('12:25'!W145)</f>
        <v>0</v>
      </c>
      <c r="X145" s="133">
        <f>+SUM('12:25'!X145)</f>
        <v>0</v>
      </c>
      <c r="Y145" s="133">
        <f>+SUM('12:25'!Y145)</f>
        <v>0</v>
      </c>
      <c r="Z145" s="133">
        <f>+SUM('12:25'!Z145)</f>
        <v>0</v>
      </c>
      <c r="AA145" s="133">
        <f>+SUM('12:25'!AA145)</f>
        <v>0</v>
      </c>
      <c r="AB145" s="133">
        <f>+SUM('12:25'!AB145)</f>
        <v>0</v>
      </c>
      <c r="AC145" s="133">
        <f>+SUM('12:25'!AC145)</f>
        <v>0</v>
      </c>
      <c r="AD145" s="1">
        <f t="shared" si="19"/>
        <v>0</v>
      </c>
      <c r="AE145" s="52">
        <v>134.26</v>
      </c>
      <c r="AF145" s="1">
        <f t="shared" si="20"/>
        <v>0</v>
      </c>
    </row>
    <row r="146" spans="1:32" s="2" customFormat="1" ht="21.95" customHeight="1">
      <c r="A146" s="140">
        <v>300309</v>
      </c>
      <c r="B146" s="135">
        <v>6504</v>
      </c>
      <c r="C146" s="226" t="s">
        <v>145</v>
      </c>
      <c r="D146" s="226"/>
      <c r="E146" s="139" t="s">
        <v>47</v>
      </c>
      <c r="F146" s="27"/>
      <c r="G146" s="133">
        <f>+SUM('12:25'!G146)</f>
        <v>0</v>
      </c>
      <c r="H146" s="133">
        <f>+SUM('12:25'!H146)</f>
        <v>0</v>
      </c>
      <c r="I146" s="133">
        <f>+SUM('12:25'!I146)</f>
        <v>0</v>
      </c>
      <c r="J146" s="133">
        <f>+SUM('12:25'!J146)</f>
        <v>0</v>
      </c>
      <c r="K146" s="137">
        <f t="shared" si="11"/>
        <v>0</v>
      </c>
      <c r="L146" s="137">
        <f t="shared" si="12"/>
        <v>0</v>
      </c>
      <c r="M146" s="137">
        <v>316.88</v>
      </c>
      <c r="N146" s="15">
        <f>+M146*1000/(75.2*4*16*60)*T146</f>
        <v>6.5841090425531918</v>
      </c>
      <c r="O146" s="133">
        <f>+SUM('12:25'!O146)</f>
        <v>0</v>
      </c>
      <c r="P146" s="137">
        <f t="shared" si="13"/>
        <v>0</v>
      </c>
      <c r="Q146" s="133">
        <f>+SUM('12:25'!Q146)</f>
        <v>0</v>
      </c>
      <c r="R146" s="19">
        <f t="shared" si="14"/>
        <v>0</v>
      </c>
      <c r="S146" s="137">
        <f t="shared" si="15"/>
        <v>0</v>
      </c>
      <c r="T146" s="20">
        <v>6</v>
      </c>
      <c r="U146" s="133">
        <f>+SUM('12:25'!U146)</f>
        <v>0</v>
      </c>
      <c r="V146" s="143" t="str">
        <f t="array" ref="V146">IF(ISERROR(L146/K146),"",L146/K146)</f>
        <v/>
      </c>
      <c r="W146" s="133">
        <f>+SUM('12:25'!W146)</f>
        <v>0</v>
      </c>
      <c r="X146" s="133">
        <f>+SUM('12:25'!X146)</f>
        <v>0</v>
      </c>
      <c r="Y146" s="133">
        <f>+SUM('12:25'!Y146)</f>
        <v>0</v>
      </c>
      <c r="Z146" s="133">
        <f>+SUM('12:25'!Z146)</f>
        <v>0</v>
      </c>
      <c r="AA146" s="133">
        <f>+SUM('12:25'!AA146)</f>
        <v>0</v>
      </c>
      <c r="AB146" s="133">
        <f>+SUM('12:25'!AB146)</f>
        <v>0</v>
      </c>
      <c r="AC146" s="133">
        <f>+SUM('12:25'!AC146)</f>
        <v>0</v>
      </c>
      <c r="AD146" s="1">
        <f t="shared" si="19"/>
        <v>0</v>
      </c>
      <c r="AE146" s="52">
        <v>232.55</v>
      </c>
      <c r="AF146" s="1">
        <f t="shared" si="20"/>
        <v>0</v>
      </c>
    </row>
    <row r="147" spans="1:32" s="2" customFormat="1" ht="21.95" customHeight="1">
      <c r="A147" s="140">
        <v>300310</v>
      </c>
      <c r="B147" s="135">
        <v>6504</v>
      </c>
      <c r="C147" s="226" t="s">
        <v>145</v>
      </c>
      <c r="D147" s="226"/>
      <c r="E147" s="139" t="s">
        <v>146</v>
      </c>
      <c r="F147" s="27"/>
      <c r="G147" s="133">
        <f>+SUM('12:25'!G147)</f>
        <v>0</v>
      </c>
      <c r="H147" s="133">
        <f>+SUM('12:25'!H147)</f>
        <v>0</v>
      </c>
      <c r="I147" s="133">
        <f>+SUM('12:25'!I147)</f>
        <v>0</v>
      </c>
      <c r="J147" s="133">
        <f>+SUM('12:25'!J147)</f>
        <v>0</v>
      </c>
      <c r="K147" s="137">
        <f t="shared" si="11"/>
        <v>0</v>
      </c>
      <c r="L147" s="137">
        <f t="shared" si="12"/>
        <v>0</v>
      </c>
      <c r="M147" s="137">
        <v>316.88</v>
      </c>
      <c r="N147" s="15">
        <f>+M147*1000/(75.2*4*16*60)*T147</f>
        <v>6.5841090425531918</v>
      </c>
      <c r="O147" s="133">
        <f>+SUM('12:25'!O147)</f>
        <v>0</v>
      </c>
      <c r="P147" s="137">
        <f t="shared" si="13"/>
        <v>0</v>
      </c>
      <c r="Q147" s="133">
        <f>+SUM('12:25'!Q147)</f>
        <v>0</v>
      </c>
      <c r="R147" s="19">
        <f t="shared" si="14"/>
        <v>0</v>
      </c>
      <c r="S147" s="137">
        <f t="shared" si="15"/>
        <v>0</v>
      </c>
      <c r="T147" s="20">
        <v>6</v>
      </c>
      <c r="U147" s="133">
        <f>+SUM('12:25'!U147)</f>
        <v>0</v>
      </c>
      <c r="V147" s="143" t="str">
        <f t="array" ref="V147">IF(ISERROR(L147/K147),"",L147/K147)</f>
        <v/>
      </c>
      <c r="W147" s="133">
        <f>+SUM('12:25'!W147)</f>
        <v>0</v>
      </c>
      <c r="X147" s="133">
        <f>+SUM('12:25'!X147)</f>
        <v>0</v>
      </c>
      <c r="Y147" s="133">
        <f>+SUM('12:25'!Y147)</f>
        <v>0</v>
      </c>
      <c r="Z147" s="133">
        <f>+SUM('12:25'!Z147)</f>
        <v>0</v>
      </c>
      <c r="AA147" s="133">
        <f>+SUM('12:25'!AA147)</f>
        <v>0</v>
      </c>
      <c r="AB147" s="133">
        <f>+SUM('12:25'!AB147)</f>
        <v>0</v>
      </c>
      <c r="AC147" s="133">
        <f>+SUM('12:25'!AC147)</f>
        <v>0</v>
      </c>
      <c r="AD147" s="1">
        <f t="shared" si="19"/>
        <v>0</v>
      </c>
      <c r="AE147" s="52">
        <v>232.55</v>
      </c>
      <c r="AF147" s="1">
        <f t="shared" si="20"/>
        <v>0</v>
      </c>
    </row>
    <row r="148" spans="1:32" s="2" customFormat="1" ht="21.95" customHeight="1">
      <c r="A148" s="140">
        <v>300312</v>
      </c>
      <c r="B148" s="135">
        <v>6504</v>
      </c>
      <c r="C148" s="226" t="s">
        <v>145</v>
      </c>
      <c r="D148" s="226"/>
      <c r="E148" s="139" t="s">
        <v>147</v>
      </c>
      <c r="F148" s="27"/>
      <c r="G148" s="133">
        <f>+SUM('12:25'!G148)</f>
        <v>0</v>
      </c>
      <c r="H148" s="133">
        <f>+SUM('12:25'!H148)</f>
        <v>0</v>
      </c>
      <c r="I148" s="133">
        <f>+SUM('12:25'!I148)</f>
        <v>0</v>
      </c>
      <c r="J148" s="133">
        <f>+SUM('12:25'!J148)</f>
        <v>0</v>
      </c>
      <c r="K148" s="137">
        <f t="shared" si="11"/>
        <v>0</v>
      </c>
      <c r="L148" s="137">
        <f t="shared" si="12"/>
        <v>0</v>
      </c>
      <c r="M148" s="137">
        <v>316.88</v>
      </c>
      <c r="N148" s="15">
        <f>+M148*1000/(75.2*4*16*60)*T148</f>
        <v>6.5841090425531918</v>
      </c>
      <c r="O148" s="133">
        <f>+SUM('12:25'!O148)</f>
        <v>0</v>
      </c>
      <c r="P148" s="137">
        <f t="shared" si="13"/>
        <v>0</v>
      </c>
      <c r="Q148" s="133">
        <f>+SUM('12:25'!Q148)</f>
        <v>0</v>
      </c>
      <c r="R148" s="19">
        <f t="shared" si="14"/>
        <v>0</v>
      </c>
      <c r="S148" s="137">
        <f t="shared" si="15"/>
        <v>0</v>
      </c>
      <c r="T148" s="20">
        <v>6</v>
      </c>
      <c r="U148" s="133">
        <f>+SUM('12:25'!U148)</f>
        <v>0</v>
      </c>
      <c r="V148" s="143" t="str">
        <f t="array" ref="V148">IF(ISERROR(L148/K148),"",L148/K148)</f>
        <v/>
      </c>
      <c r="W148" s="133">
        <f>+SUM('12:25'!W148)</f>
        <v>0</v>
      </c>
      <c r="X148" s="133">
        <f>+SUM('12:25'!X148)</f>
        <v>0</v>
      </c>
      <c r="Y148" s="133">
        <f>+SUM('12:25'!Y148)</f>
        <v>0</v>
      </c>
      <c r="Z148" s="133">
        <f>+SUM('12:25'!Z148)</f>
        <v>0</v>
      </c>
      <c r="AA148" s="133">
        <f>+SUM('12:25'!AA148)</f>
        <v>0</v>
      </c>
      <c r="AB148" s="133">
        <f>+SUM('12:25'!AB148)</f>
        <v>0</v>
      </c>
      <c r="AC148" s="133">
        <f>+SUM('12:25'!AC148)</f>
        <v>0</v>
      </c>
      <c r="AD148" s="1">
        <f t="shared" si="19"/>
        <v>0</v>
      </c>
      <c r="AE148" s="52">
        <v>232.55</v>
      </c>
      <c r="AF148" s="1">
        <f t="shared" si="20"/>
        <v>0</v>
      </c>
    </row>
    <row r="149" spans="1:32" s="2" customFormat="1" ht="21.95" customHeight="1">
      <c r="A149" s="140">
        <v>300311</v>
      </c>
      <c r="B149" s="135">
        <v>6504</v>
      </c>
      <c r="C149" s="237" t="s">
        <v>145</v>
      </c>
      <c r="D149" s="238"/>
      <c r="E149" s="139" t="s">
        <v>74</v>
      </c>
      <c r="F149" s="27"/>
      <c r="G149" s="133">
        <f>+SUM('12:25'!G149)</f>
        <v>0</v>
      </c>
      <c r="H149" s="133">
        <f>+SUM('12:25'!H149)</f>
        <v>0</v>
      </c>
      <c r="I149" s="133">
        <f>+SUM('12:25'!I149)</f>
        <v>0</v>
      </c>
      <c r="J149" s="133">
        <f>+SUM('12:25'!J149)</f>
        <v>0</v>
      </c>
      <c r="K149" s="137">
        <f t="shared" si="11"/>
        <v>0</v>
      </c>
      <c r="L149" s="137">
        <f t="shared" si="12"/>
        <v>0</v>
      </c>
      <c r="M149" s="137">
        <v>316.88</v>
      </c>
      <c r="N149" s="15">
        <f>+M149*1000/(75.2*4*16*60)*T149</f>
        <v>6.5841090425531918</v>
      </c>
      <c r="O149" s="133">
        <f>+SUM('12:25'!O149)</f>
        <v>0</v>
      </c>
      <c r="P149" s="137">
        <f t="shared" si="13"/>
        <v>0</v>
      </c>
      <c r="Q149" s="133">
        <f>+SUM('12:25'!Q149)</f>
        <v>0</v>
      </c>
      <c r="R149" s="19">
        <f t="shared" si="14"/>
        <v>0</v>
      </c>
      <c r="S149" s="137">
        <f t="shared" si="15"/>
        <v>0</v>
      </c>
      <c r="T149" s="20">
        <v>6</v>
      </c>
      <c r="U149" s="133">
        <f>+SUM('12:25'!U149)</f>
        <v>0</v>
      </c>
      <c r="V149" s="143" t="str">
        <f t="array" ref="V149">IF(ISERROR(L149/K149),"",L149/K149)</f>
        <v/>
      </c>
      <c r="W149" s="133">
        <f>+SUM('12:25'!W149)</f>
        <v>0</v>
      </c>
      <c r="X149" s="133">
        <f>+SUM('12:25'!X149)</f>
        <v>0</v>
      </c>
      <c r="Y149" s="133">
        <f>+SUM('12:25'!Y149)</f>
        <v>0</v>
      </c>
      <c r="Z149" s="133">
        <f>+SUM('12:25'!Z149)</f>
        <v>0</v>
      </c>
      <c r="AA149" s="133">
        <f>+SUM('12:25'!AA149)</f>
        <v>0</v>
      </c>
      <c r="AB149" s="133">
        <f>+SUM('12:25'!AB149)</f>
        <v>0</v>
      </c>
      <c r="AC149" s="133">
        <f>+SUM('12:25'!AC149)</f>
        <v>0</v>
      </c>
      <c r="AD149" s="1">
        <f t="shared" si="19"/>
        <v>0</v>
      </c>
      <c r="AE149" s="52">
        <v>232.55</v>
      </c>
      <c r="AF149" s="1">
        <f t="shared" si="20"/>
        <v>0</v>
      </c>
    </row>
    <row r="150" spans="1:32" s="2" customFormat="1" ht="21.95" customHeight="1">
      <c r="A150" s="140">
        <v>300399</v>
      </c>
      <c r="B150" s="135">
        <v>18501</v>
      </c>
      <c r="C150" s="242" t="s">
        <v>148</v>
      </c>
      <c r="D150" s="243"/>
      <c r="E150" s="32" t="s">
        <v>41</v>
      </c>
      <c r="F150" s="27"/>
      <c r="G150" s="133">
        <f>+SUM('12:25'!G150)</f>
        <v>0</v>
      </c>
      <c r="H150" s="133">
        <f>+SUM('12:25'!H150)</f>
        <v>0</v>
      </c>
      <c r="I150" s="133">
        <f>+SUM('12:25'!I150)</f>
        <v>0</v>
      </c>
      <c r="J150" s="133">
        <f>+SUM('12:25'!J150)</f>
        <v>0</v>
      </c>
      <c r="K150" s="137">
        <f t="shared" si="11"/>
        <v>0</v>
      </c>
      <c r="L150" s="137">
        <f t="shared" si="12"/>
        <v>0</v>
      </c>
      <c r="M150" s="137">
        <v>311.2</v>
      </c>
      <c r="N150" s="40">
        <f>+M150*1000/(100*4*16*60)*T150</f>
        <v>4.8624999999999998</v>
      </c>
      <c r="O150" s="133">
        <f>+SUM('12:25'!O150)</f>
        <v>0</v>
      </c>
      <c r="P150" s="137">
        <f t="shared" si="13"/>
        <v>0</v>
      </c>
      <c r="Q150" s="133">
        <f>+SUM('12:25'!Q150)</f>
        <v>0</v>
      </c>
      <c r="R150" s="19">
        <f t="shared" si="14"/>
        <v>0</v>
      </c>
      <c r="S150" s="137">
        <f t="shared" si="15"/>
        <v>0</v>
      </c>
      <c r="T150" s="43">
        <v>6</v>
      </c>
      <c r="U150" s="133">
        <f>+SUM('12:25'!U150)</f>
        <v>0</v>
      </c>
      <c r="V150" s="143"/>
      <c r="W150" s="133">
        <f>+SUM('12:25'!W150)</f>
        <v>0</v>
      </c>
      <c r="X150" s="133">
        <f>+SUM('12:25'!X150)</f>
        <v>0</v>
      </c>
      <c r="Y150" s="133">
        <f>+SUM('12:25'!Y150)</f>
        <v>0</v>
      </c>
      <c r="Z150" s="133">
        <f>+SUM('12:25'!Z150)</f>
        <v>0</v>
      </c>
      <c r="AA150" s="133">
        <f>+SUM('12:25'!AA150)</f>
        <v>0</v>
      </c>
      <c r="AB150" s="133">
        <f>+SUM('12:25'!AB150)</f>
        <v>0</v>
      </c>
      <c r="AC150" s="133">
        <f>+SUM('12:25'!AC150)</f>
        <v>0</v>
      </c>
      <c r="AD150" s="1">
        <f t="shared" si="19"/>
        <v>0</v>
      </c>
      <c r="AE150" s="52">
        <v>323.06</v>
      </c>
      <c r="AF150" s="1">
        <f t="shared" si="20"/>
        <v>0</v>
      </c>
    </row>
    <row r="151" spans="1:32" s="2" customFormat="1" ht="21.95" customHeight="1">
      <c r="A151" s="140">
        <v>300400</v>
      </c>
      <c r="B151" s="135">
        <v>18501</v>
      </c>
      <c r="C151" s="242" t="s">
        <v>148</v>
      </c>
      <c r="D151" s="243"/>
      <c r="E151" s="32" t="s">
        <v>66</v>
      </c>
      <c r="F151" s="27"/>
      <c r="G151" s="133">
        <f>+SUM('12:25'!G151)</f>
        <v>0</v>
      </c>
      <c r="H151" s="133">
        <f>+SUM('12:25'!H151)</f>
        <v>0</v>
      </c>
      <c r="I151" s="133">
        <f>+SUM('12:25'!I151)</f>
        <v>0</v>
      </c>
      <c r="J151" s="133">
        <f>+SUM('12:25'!J151)</f>
        <v>0</v>
      </c>
      <c r="K151" s="137">
        <f t="shared" si="11"/>
        <v>0</v>
      </c>
      <c r="L151" s="137">
        <f t="shared" si="12"/>
        <v>0</v>
      </c>
      <c r="M151" s="137">
        <v>311.2</v>
      </c>
      <c r="N151" s="40">
        <f>+M151*1000/(100*4*16*60)*T151</f>
        <v>4.8624999999999998</v>
      </c>
      <c r="O151" s="133">
        <f>+SUM('12:25'!O151)</f>
        <v>0</v>
      </c>
      <c r="P151" s="137">
        <f t="shared" si="13"/>
        <v>0</v>
      </c>
      <c r="Q151" s="133">
        <f>+SUM('12:25'!Q151)</f>
        <v>0</v>
      </c>
      <c r="R151" s="19">
        <f t="shared" si="14"/>
        <v>0</v>
      </c>
      <c r="S151" s="137">
        <f t="shared" si="15"/>
        <v>0</v>
      </c>
      <c r="T151" s="43">
        <v>6</v>
      </c>
      <c r="U151" s="133">
        <f>+SUM('12:25'!U151)</f>
        <v>0</v>
      </c>
      <c r="V151" s="143"/>
      <c r="W151" s="133">
        <f>+SUM('12:25'!W151)</f>
        <v>0</v>
      </c>
      <c r="X151" s="133">
        <f>+SUM('12:25'!X151)</f>
        <v>0</v>
      </c>
      <c r="Y151" s="133">
        <f>+SUM('12:25'!Y151)</f>
        <v>0</v>
      </c>
      <c r="Z151" s="133">
        <f>+SUM('12:25'!Z151)</f>
        <v>0</v>
      </c>
      <c r="AA151" s="133">
        <f>+SUM('12:25'!AA151)</f>
        <v>0</v>
      </c>
      <c r="AB151" s="133">
        <f>+SUM('12:25'!AB151)</f>
        <v>0</v>
      </c>
      <c r="AC151" s="133">
        <f>+SUM('12:25'!AC151)</f>
        <v>0</v>
      </c>
      <c r="AD151" s="1">
        <f t="shared" si="19"/>
        <v>0</v>
      </c>
      <c r="AE151" s="52">
        <v>323.06</v>
      </c>
      <c r="AF151" s="1">
        <f t="shared" si="20"/>
        <v>0</v>
      </c>
    </row>
    <row r="152" spans="1:32" s="2" customFormat="1" ht="21.95" customHeight="1">
      <c r="A152" s="140">
        <v>300401</v>
      </c>
      <c r="B152" s="135">
        <v>18501</v>
      </c>
      <c r="C152" s="242" t="s">
        <v>148</v>
      </c>
      <c r="D152" s="243"/>
      <c r="E152" s="32" t="s">
        <v>149</v>
      </c>
      <c r="F152" s="27"/>
      <c r="G152" s="133">
        <f>+SUM('12:25'!G152)</f>
        <v>0</v>
      </c>
      <c r="H152" s="133">
        <f>+SUM('12:25'!H152)</f>
        <v>0</v>
      </c>
      <c r="I152" s="133">
        <f>+SUM('12:25'!I152)</f>
        <v>0</v>
      </c>
      <c r="J152" s="133">
        <f>+SUM('12:25'!J152)</f>
        <v>0</v>
      </c>
      <c r="K152" s="137">
        <f t="shared" si="11"/>
        <v>0</v>
      </c>
      <c r="L152" s="137">
        <f t="shared" si="12"/>
        <v>0</v>
      </c>
      <c r="M152" s="137">
        <v>311.2</v>
      </c>
      <c r="N152" s="40">
        <f>+M152*1000/(100*4*16*60)*T152</f>
        <v>4.8624999999999998</v>
      </c>
      <c r="O152" s="133">
        <f>+SUM('12:25'!O152)</f>
        <v>0</v>
      </c>
      <c r="P152" s="137">
        <f t="shared" si="13"/>
        <v>0</v>
      </c>
      <c r="Q152" s="133">
        <f>+SUM('12:25'!Q152)</f>
        <v>0</v>
      </c>
      <c r="R152" s="19">
        <f t="shared" si="14"/>
        <v>0</v>
      </c>
      <c r="S152" s="137">
        <f t="shared" si="15"/>
        <v>0</v>
      </c>
      <c r="T152" s="43">
        <v>6</v>
      </c>
      <c r="U152" s="133">
        <f>+SUM('12:25'!U152)</f>
        <v>0</v>
      </c>
      <c r="V152" s="143"/>
      <c r="W152" s="133">
        <f>+SUM('12:25'!W152)</f>
        <v>0</v>
      </c>
      <c r="X152" s="133">
        <f>+SUM('12:25'!X152)</f>
        <v>0</v>
      </c>
      <c r="Y152" s="133">
        <f>+SUM('12:25'!Y152)</f>
        <v>0</v>
      </c>
      <c r="Z152" s="133">
        <f>+SUM('12:25'!Z152)</f>
        <v>0</v>
      </c>
      <c r="AA152" s="133">
        <f>+SUM('12:25'!AA152)</f>
        <v>0</v>
      </c>
      <c r="AB152" s="133">
        <f>+SUM('12:25'!AB152)</f>
        <v>0</v>
      </c>
      <c r="AC152" s="133">
        <f>+SUM('12:25'!AC152)</f>
        <v>0</v>
      </c>
      <c r="AD152" s="1">
        <f t="shared" si="19"/>
        <v>0</v>
      </c>
      <c r="AE152" s="52">
        <v>323.06</v>
      </c>
      <c r="AF152" s="1">
        <f t="shared" si="20"/>
        <v>0</v>
      </c>
    </row>
    <row r="153" spans="1:32" s="2" customFormat="1" ht="21.95" customHeight="1">
      <c r="A153" s="140">
        <v>300402</v>
      </c>
      <c r="B153" s="135">
        <v>18501</v>
      </c>
      <c r="C153" s="242" t="s">
        <v>150</v>
      </c>
      <c r="D153" s="243"/>
      <c r="E153" s="32" t="s">
        <v>151</v>
      </c>
      <c r="F153" s="27"/>
      <c r="G153" s="133">
        <f>+SUM('12:25'!G153)</f>
        <v>0</v>
      </c>
      <c r="H153" s="133">
        <f>+SUM('12:25'!H153)</f>
        <v>0</v>
      </c>
      <c r="I153" s="133">
        <f>+SUM('12:25'!I153)</f>
        <v>0</v>
      </c>
      <c r="J153" s="133">
        <f>+SUM('12:25'!J153)</f>
        <v>0</v>
      </c>
      <c r="K153" s="137">
        <f t="shared" si="11"/>
        <v>0</v>
      </c>
      <c r="L153" s="137">
        <f t="shared" si="12"/>
        <v>0</v>
      </c>
      <c r="M153" s="137">
        <v>465.3</v>
      </c>
      <c r="N153" s="40">
        <f>+M153*1000/(137*4*16*60)*T153</f>
        <v>5.3067974452554747</v>
      </c>
      <c r="O153" s="133">
        <f>+SUM('12:25'!O153)</f>
        <v>0</v>
      </c>
      <c r="P153" s="137">
        <f t="shared" si="13"/>
        <v>0</v>
      </c>
      <c r="Q153" s="133">
        <f>+SUM('12:25'!Q153)</f>
        <v>0</v>
      </c>
      <c r="R153" s="19">
        <f t="shared" si="14"/>
        <v>0</v>
      </c>
      <c r="S153" s="137">
        <f t="shared" si="15"/>
        <v>0</v>
      </c>
      <c r="T153" s="43">
        <v>6</v>
      </c>
      <c r="U153" s="133">
        <f>+SUM('12:25'!U153)</f>
        <v>0</v>
      </c>
      <c r="V153" s="143"/>
      <c r="W153" s="133">
        <f>+SUM('12:25'!W153)</f>
        <v>0</v>
      </c>
      <c r="X153" s="133">
        <f>+SUM('12:25'!X153)</f>
        <v>0</v>
      </c>
      <c r="Y153" s="133">
        <f>+SUM('12:25'!Y153)</f>
        <v>0</v>
      </c>
      <c r="Z153" s="133">
        <f>+SUM('12:25'!Z153)</f>
        <v>0</v>
      </c>
      <c r="AA153" s="133">
        <f>+SUM('12:25'!AA153)</f>
        <v>0</v>
      </c>
      <c r="AB153" s="133">
        <f>+SUM('12:25'!AB153)</f>
        <v>0</v>
      </c>
      <c r="AC153" s="133">
        <f>+SUM('12:25'!AC153)</f>
        <v>0</v>
      </c>
      <c r="AD153" s="1">
        <f t="shared" si="19"/>
        <v>0</v>
      </c>
      <c r="AE153" s="52">
        <v>205.52</v>
      </c>
      <c r="AF153" s="1">
        <f t="shared" si="20"/>
        <v>0</v>
      </c>
    </row>
    <row r="154" spans="1:32" s="2" customFormat="1" ht="21.95" customHeight="1">
      <c r="A154" s="140">
        <v>300403</v>
      </c>
      <c r="B154" s="135">
        <v>18501</v>
      </c>
      <c r="C154" s="242" t="s">
        <v>150</v>
      </c>
      <c r="D154" s="243"/>
      <c r="E154" s="32" t="s">
        <v>152</v>
      </c>
      <c r="F154" s="27"/>
      <c r="G154" s="133">
        <f>+SUM('12:25'!G154)</f>
        <v>0</v>
      </c>
      <c r="H154" s="133">
        <f>+SUM('12:25'!H154)</f>
        <v>0</v>
      </c>
      <c r="I154" s="133">
        <f>+SUM('12:25'!I154)</f>
        <v>0</v>
      </c>
      <c r="J154" s="133">
        <f>+SUM('12:25'!J154)</f>
        <v>0</v>
      </c>
      <c r="K154" s="137">
        <f t="shared" ref="K154:K190" si="21">G154*M154</f>
        <v>0</v>
      </c>
      <c r="L154" s="137">
        <f t="shared" ref="L154:L190" si="22">I154*M154</f>
        <v>0</v>
      </c>
      <c r="M154" s="137">
        <v>465.3</v>
      </c>
      <c r="N154" s="40">
        <f>+M154*1000/(137*4*16*60)*T154</f>
        <v>5.3067974452554747</v>
      </c>
      <c r="O154" s="133">
        <f>+SUM('12:25'!O154)</f>
        <v>0</v>
      </c>
      <c r="P154" s="137">
        <f t="shared" ref="P154:P190" si="23">N154*I154+O154*U154</f>
        <v>0</v>
      </c>
      <c r="Q154" s="133">
        <f>+SUM('12:25'!Q154)</f>
        <v>0</v>
      </c>
      <c r="R154" s="19">
        <f t="shared" ref="R154:R190" si="24">Q154*U154</f>
        <v>0</v>
      </c>
      <c r="S154" s="137">
        <f t="shared" ref="S154:S190" si="25">R154-P154</f>
        <v>0</v>
      </c>
      <c r="T154" s="43">
        <v>6</v>
      </c>
      <c r="U154" s="133">
        <f>+SUM('12:25'!U154)</f>
        <v>0</v>
      </c>
      <c r="V154" s="143"/>
      <c r="W154" s="133">
        <f>+SUM('12:25'!W154)</f>
        <v>0</v>
      </c>
      <c r="X154" s="133">
        <f>+SUM('12:25'!X154)</f>
        <v>0</v>
      </c>
      <c r="Y154" s="133">
        <f>+SUM('12:25'!Y154)</f>
        <v>0</v>
      </c>
      <c r="Z154" s="133">
        <f>+SUM('12:25'!Z154)</f>
        <v>0</v>
      </c>
      <c r="AA154" s="133">
        <f>+SUM('12:25'!AA154)</f>
        <v>0</v>
      </c>
      <c r="AB154" s="133">
        <f>+SUM('12:25'!AB154)</f>
        <v>0</v>
      </c>
      <c r="AC154" s="133">
        <f>+SUM('12:25'!AC154)</f>
        <v>0</v>
      </c>
      <c r="AD154" s="1">
        <f t="shared" si="19"/>
        <v>0</v>
      </c>
      <c r="AE154" s="52">
        <v>205.52</v>
      </c>
      <c r="AF154" s="1">
        <f t="shared" si="20"/>
        <v>0</v>
      </c>
    </row>
    <row r="155" spans="1:32" s="2" customFormat="1" ht="21.95" customHeight="1">
      <c r="A155" s="140">
        <v>300404</v>
      </c>
      <c r="B155" s="135">
        <v>18501</v>
      </c>
      <c r="C155" s="242" t="s">
        <v>150</v>
      </c>
      <c r="D155" s="243"/>
      <c r="E155" s="32" t="s">
        <v>70</v>
      </c>
      <c r="F155" s="27"/>
      <c r="G155" s="133">
        <f>+SUM('12:25'!G155)</f>
        <v>0</v>
      </c>
      <c r="H155" s="133">
        <f>+SUM('12:25'!H155)</f>
        <v>0</v>
      </c>
      <c r="I155" s="133">
        <f>+SUM('12:25'!I155)</f>
        <v>0</v>
      </c>
      <c r="J155" s="133">
        <f>+SUM('12:25'!J155)</f>
        <v>0</v>
      </c>
      <c r="K155" s="137">
        <f t="shared" si="21"/>
        <v>0</v>
      </c>
      <c r="L155" s="137">
        <f t="shared" si="22"/>
        <v>0</v>
      </c>
      <c r="M155" s="137">
        <v>465.3</v>
      </c>
      <c r="N155" s="40">
        <f>+M155*1000/(137*4*16*60)*T155</f>
        <v>5.3067974452554747</v>
      </c>
      <c r="O155" s="133">
        <f>+SUM('12:25'!O155)</f>
        <v>0</v>
      </c>
      <c r="P155" s="137">
        <f t="shared" si="23"/>
        <v>0</v>
      </c>
      <c r="Q155" s="133">
        <f>+SUM('12:25'!Q155)</f>
        <v>0</v>
      </c>
      <c r="R155" s="19">
        <f t="shared" si="24"/>
        <v>0</v>
      </c>
      <c r="S155" s="137">
        <f t="shared" si="25"/>
        <v>0</v>
      </c>
      <c r="T155" s="43">
        <v>6</v>
      </c>
      <c r="U155" s="133">
        <f>+SUM('12:25'!U155)</f>
        <v>0</v>
      </c>
      <c r="V155" s="143"/>
      <c r="W155" s="133">
        <f>+SUM('12:25'!W155)</f>
        <v>0</v>
      </c>
      <c r="X155" s="133">
        <f>+SUM('12:25'!X155)</f>
        <v>0</v>
      </c>
      <c r="Y155" s="133">
        <f>+SUM('12:25'!Y155)</f>
        <v>0</v>
      </c>
      <c r="Z155" s="133">
        <f>+SUM('12:25'!Z155)</f>
        <v>0</v>
      </c>
      <c r="AA155" s="133">
        <f>+SUM('12:25'!AA155)</f>
        <v>0</v>
      </c>
      <c r="AB155" s="133">
        <f>+SUM('12:25'!AB155)</f>
        <v>0</v>
      </c>
      <c r="AC155" s="133">
        <f>+SUM('12:25'!AC155)</f>
        <v>0</v>
      </c>
      <c r="AD155" s="1">
        <f t="shared" si="19"/>
        <v>0</v>
      </c>
      <c r="AE155" s="52">
        <v>205.52</v>
      </c>
      <c r="AF155" s="1">
        <f t="shared" si="20"/>
        <v>0</v>
      </c>
    </row>
    <row r="156" spans="1:32" s="2" customFormat="1" ht="21.95" customHeight="1">
      <c r="A156" s="140">
        <v>300405</v>
      </c>
      <c r="B156" s="135">
        <v>18501</v>
      </c>
      <c r="C156" s="242" t="s">
        <v>150</v>
      </c>
      <c r="D156" s="243"/>
      <c r="E156" s="32" t="s">
        <v>35</v>
      </c>
      <c r="F156" s="27"/>
      <c r="G156" s="133">
        <f>+SUM('12:25'!G156)</f>
        <v>0</v>
      </c>
      <c r="H156" s="133">
        <f>+SUM('12:25'!H156)</f>
        <v>0</v>
      </c>
      <c r="I156" s="133">
        <f>+SUM('12:25'!I156)</f>
        <v>0</v>
      </c>
      <c r="J156" s="133">
        <f>+SUM('12:25'!J156)</f>
        <v>0</v>
      </c>
      <c r="K156" s="137">
        <f t="shared" si="21"/>
        <v>0</v>
      </c>
      <c r="L156" s="137">
        <f t="shared" si="22"/>
        <v>0</v>
      </c>
      <c r="M156" s="137">
        <v>465.3</v>
      </c>
      <c r="N156" s="40">
        <f>+M156*1000/(137*4*16*60)*T156</f>
        <v>5.3067974452554747</v>
      </c>
      <c r="O156" s="133">
        <f>+SUM('12:25'!O156)</f>
        <v>0</v>
      </c>
      <c r="P156" s="137">
        <f t="shared" si="23"/>
        <v>0</v>
      </c>
      <c r="Q156" s="133">
        <f>+SUM('12:25'!Q156)</f>
        <v>0</v>
      </c>
      <c r="R156" s="19">
        <f t="shared" si="24"/>
        <v>0</v>
      </c>
      <c r="S156" s="137">
        <f t="shared" si="25"/>
        <v>0</v>
      </c>
      <c r="T156" s="43">
        <v>6</v>
      </c>
      <c r="U156" s="133">
        <f>+SUM('12:25'!U156)</f>
        <v>0</v>
      </c>
      <c r="V156" s="143"/>
      <c r="W156" s="133">
        <f>+SUM('12:25'!W156)</f>
        <v>0</v>
      </c>
      <c r="X156" s="133">
        <f>+SUM('12:25'!X156)</f>
        <v>0</v>
      </c>
      <c r="Y156" s="133">
        <f>+SUM('12:25'!Y156)</f>
        <v>0</v>
      </c>
      <c r="Z156" s="133">
        <f>+SUM('12:25'!Z156)</f>
        <v>0</v>
      </c>
      <c r="AA156" s="133">
        <f>+SUM('12:25'!AA156)</f>
        <v>0</v>
      </c>
      <c r="AB156" s="133">
        <f>+SUM('12:25'!AB156)</f>
        <v>0</v>
      </c>
      <c r="AC156" s="133">
        <f>+SUM('12:25'!AC156)</f>
        <v>0</v>
      </c>
      <c r="AD156" s="1">
        <f t="shared" si="19"/>
        <v>0</v>
      </c>
      <c r="AE156" s="52">
        <v>205.52</v>
      </c>
      <c r="AF156" s="1">
        <f t="shared" si="20"/>
        <v>0</v>
      </c>
    </row>
    <row r="157" spans="1:32" s="2" customFormat="1" ht="21.95" customHeight="1">
      <c r="A157" s="140">
        <v>300372</v>
      </c>
      <c r="B157" s="135">
        <v>18501</v>
      </c>
      <c r="C157" s="237" t="s">
        <v>153</v>
      </c>
      <c r="D157" s="238"/>
      <c r="E157" s="139" t="s">
        <v>47</v>
      </c>
      <c r="F157" s="27"/>
      <c r="G157" s="133">
        <f>+SUM('12:25'!G157)</f>
        <v>0</v>
      </c>
      <c r="H157" s="133">
        <f>+SUM('12:25'!H157)</f>
        <v>0</v>
      </c>
      <c r="I157" s="133">
        <f>+SUM('12:25'!I157)</f>
        <v>0</v>
      </c>
      <c r="J157" s="133">
        <f>+SUM('12:25'!J157)</f>
        <v>0</v>
      </c>
      <c r="K157" s="137">
        <f t="shared" si="21"/>
        <v>0</v>
      </c>
      <c r="L157" s="137">
        <f t="shared" si="22"/>
        <v>0</v>
      </c>
      <c r="M157" s="137">
        <v>420.58</v>
      </c>
      <c r="N157" s="15">
        <f>+M157*1000/(140*4*16*60)*T157</f>
        <v>4.6939732142857142</v>
      </c>
      <c r="O157" s="133">
        <f>+SUM('12:25'!O157)</f>
        <v>0</v>
      </c>
      <c r="P157" s="137">
        <f t="shared" si="23"/>
        <v>0</v>
      </c>
      <c r="Q157" s="133">
        <f>+SUM('12:25'!Q157)</f>
        <v>0</v>
      </c>
      <c r="R157" s="19">
        <f t="shared" si="24"/>
        <v>0</v>
      </c>
      <c r="S157" s="137">
        <f t="shared" si="25"/>
        <v>0</v>
      </c>
      <c r="T157" s="20">
        <v>6</v>
      </c>
      <c r="U157" s="133">
        <f>+SUM('12:25'!U157)</f>
        <v>0</v>
      </c>
      <c r="V157" s="143"/>
      <c r="W157" s="133">
        <f>+SUM('12:25'!W157)</f>
        <v>0</v>
      </c>
      <c r="X157" s="133">
        <f>+SUM('12:25'!X157)</f>
        <v>0</v>
      </c>
      <c r="Y157" s="133">
        <f>+SUM('12:25'!Y157)</f>
        <v>0</v>
      </c>
      <c r="Z157" s="133">
        <f>+SUM('12:25'!Z157)</f>
        <v>0</v>
      </c>
      <c r="AA157" s="133">
        <f>+SUM('12:25'!AA157)</f>
        <v>0</v>
      </c>
      <c r="AB157" s="133">
        <f>+SUM('12:25'!AB157)</f>
        <v>0</v>
      </c>
      <c r="AC157" s="133">
        <f>+SUM('12:25'!AC157)</f>
        <v>0</v>
      </c>
      <c r="AD157" s="1">
        <f t="shared" si="19"/>
        <v>0</v>
      </c>
      <c r="AE157" s="52"/>
      <c r="AF157" s="1">
        <f t="shared" si="20"/>
        <v>0</v>
      </c>
    </row>
    <row r="158" spans="1:32" s="2" customFormat="1" ht="21.95" customHeight="1">
      <c r="A158" s="140">
        <v>300373</v>
      </c>
      <c r="B158" s="135">
        <v>18501</v>
      </c>
      <c r="C158" s="237" t="s">
        <v>153</v>
      </c>
      <c r="D158" s="238"/>
      <c r="E158" s="139" t="s">
        <v>146</v>
      </c>
      <c r="F158" s="27"/>
      <c r="G158" s="133">
        <f>+SUM('12:25'!G158)</f>
        <v>0</v>
      </c>
      <c r="H158" s="133">
        <f>+SUM('12:25'!H158)</f>
        <v>0</v>
      </c>
      <c r="I158" s="133">
        <f>+SUM('12:25'!I158)</f>
        <v>0</v>
      </c>
      <c r="J158" s="133">
        <f>+SUM('12:25'!J158)</f>
        <v>0</v>
      </c>
      <c r="K158" s="137">
        <f t="shared" si="21"/>
        <v>0</v>
      </c>
      <c r="L158" s="137">
        <f t="shared" si="22"/>
        <v>0</v>
      </c>
      <c r="M158" s="137">
        <v>420.58</v>
      </c>
      <c r="N158" s="15">
        <f>+M158*1000/(140*4*16*60)*T158</f>
        <v>4.6939732142857142</v>
      </c>
      <c r="O158" s="133">
        <f>+SUM('12:25'!O158)</f>
        <v>0</v>
      </c>
      <c r="P158" s="137">
        <f t="shared" si="23"/>
        <v>0</v>
      </c>
      <c r="Q158" s="133">
        <f>+SUM('12:25'!Q158)</f>
        <v>0</v>
      </c>
      <c r="R158" s="19">
        <f t="shared" si="24"/>
        <v>0</v>
      </c>
      <c r="S158" s="137">
        <f t="shared" si="25"/>
        <v>0</v>
      </c>
      <c r="T158" s="20">
        <v>6</v>
      </c>
      <c r="U158" s="133">
        <f>+SUM('12:25'!U158)</f>
        <v>0</v>
      </c>
      <c r="V158" s="143"/>
      <c r="W158" s="133">
        <f>+SUM('12:25'!W158)</f>
        <v>0</v>
      </c>
      <c r="X158" s="133">
        <f>+SUM('12:25'!X158)</f>
        <v>0</v>
      </c>
      <c r="Y158" s="133">
        <f>+SUM('12:25'!Y158)</f>
        <v>0</v>
      </c>
      <c r="Z158" s="133">
        <f>+SUM('12:25'!Z158)</f>
        <v>0</v>
      </c>
      <c r="AA158" s="133">
        <f>+SUM('12:25'!AA158)</f>
        <v>0</v>
      </c>
      <c r="AB158" s="133">
        <f>+SUM('12:25'!AB158)</f>
        <v>0</v>
      </c>
      <c r="AC158" s="133">
        <f>+SUM('12:25'!AC158)</f>
        <v>0</v>
      </c>
      <c r="AD158" s="1">
        <f t="shared" si="19"/>
        <v>0</v>
      </c>
      <c r="AE158" s="52"/>
      <c r="AF158" s="1">
        <f t="shared" si="20"/>
        <v>0</v>
      </c>
    </row>
    <row r="159" spans="1:32" s="2" customFormat="1" ht="21.95" customHeight="1">
      <c r="A159" s="140">
        <v>300374</v>
      </c>
      <c r="B159" s="135">
        <v>18501</v>
      </c>
      <c r="C159" s="237" t="s">
        <v>153</v>
      </c>
      <c r="D159" s="238"/>
      <c r="E159" s="139" t="s">
        <v>147</v>
      </c>
      <c r="F159" s="27"/>
      <c r="G159" s="133">
        <f>+SUM('12:25'!G159)</f>
        <v>0</v>
      </c>
      <c r="H159" s="133">
        <f>+SUM('12:25'!H159)</f>
        <v>0</v>
      </c>
      <c r="I159" s="133">
        <f>+SUM('12:25'!I159)</f>
        <v>0</v>
      </c>
      <c r="J159" s="133">
        <f>+SUM('12:25'!J159)</f>
        <v>0</v>
      </c>
      <c r="K159" s="137">
        <f t="shared" si="21"/>
        <v>0</v>
      </c>
      <c r="L159" s="137">
        <f t="shared" si="22"/>
        <v>0</v>
      </c>
      <c r="M159" s="137">
        <v>420.58</v>
      </c>
      <c r="N159" s="15">
        <f>+M159*1000/(140*4*16*60)*T159</f>
        <v>4.6939732142857142</v>
      </c>
      <c r="O159" s="133">
        <f>+SUM('12:25'!O159)</f>
        <v>0</v>
      </c>
      <c r="P159" s="137">
        <f t="shared" si="23"/>
        <v>0</v>
      </c>
      <c r="Q159" s="133">
        <f>+SUM('12:25'!Q159)</f>
        <v>0</v>
      </c>
      <c r="R159" s="19">
        <f t="shared" si="24"/>
        <v>0</v>
      </c>
      <c r="S159" s="137">
        <f t="shared" si="25"/>
        <v>0</v>
      </c>
      <c r="T159" s="20">
        <v>6</v>
      </c>
      <c r="U159" s="133">
        <f>+SUM('12:25'!U159)</f>
        <v>0</v>
      </c>
      <c r="V159" s="143"/>
      <c r="W159" s="133">
        <f>+SUM('12:25'!W159)</f>
        <v>0</v>
      </c>
      <c r="X159" s="133">
        <f>+SUM('12:25'!X159)</f>
        <v>0</v>
      </c>
      <c r="Y159" s="133">
        <f>+SUM('12:25'!Y159)</f>
        <v>0</v>
      </c>
      <c r="Z159" s="133">
        <f>+SUM('12:25'!Z159)</f>
        <v>0</v>
      </c>
      <c r="AA159" s="133">
        <f>+SUM('12:25'!AA159)</f>
        <v>0</v>
      </c>
      <c r="AB159" s="133">
        <f>+SUM('12:25'!AB159)</f>
        <v>0</v>
      </c>
      <c r="AC159" s="133">
        <f>+SUM('12:25'!AC159)</f>
        <v>0</v>
      </c>
      <c r="AD159" s="1">
        <f t="shared" si="19"/>
        <v>0</v>
      </c>
      <c r="AE159" s="52"/>
      <c r="AF159" s="1">
        <f t="shared" si="20"/>
        <v>0</v>
      </c>
    </row>
    <row r="160" spans="1:32" s="2" customFormat="1" ht="21.95" customHeight="1">
      <c r="A160" s="140">
        <v>300375</v>
      </c>
      <c r="B160" s="135">
        <v>18501</v>
      </c>
      <c r="C160" s="237" t="s">
        <v>153</v>
      </c>
      <c r="D160" s="238"/>
      <c r="E160" s="139" t="s">
        <v>74</v>
      </c>
      <c r="F160" s="27"/>
      <c r="G160" s="133">
        <f>+SUM('12:25'!G160)</f>
        <v>0</v>
      </c>
      <c r="H160" s="133">
        <f>+SUM('12:25'!H160)</f>
        <v>0</v>
      </c>
      <c r="I160" s="133">
        <f>+SUM('12:25'!I160)</f>
        <v>0</v>
      </c>
      <c r="J160" s="133">
        <f>+SUM('12:25'!J160)</f>
        <v>0</v>
      </c>
      <c r="K160" s="137">
        <f t="shared" si="21"/>
        <v>0</v>
      </c>
      <c r="L160" s="137">
        <f t="shared" si="22"/>
        <v>0</v>
      </c>
      <c r="M160" s="137">
        <v>420.58</v>
      </c>
      <c r="N160" s="15">
        <f>+M160*1000/(140*4*16*60)*T160</f>
        <v>4.6939732142857142</v>
      </c>
      <c r="O160" s="133">
        <f>+SUM('12:25'!O160)</f>
        <v>0</v>
      </c>
      <c r="P160" s="137">
        <f t="shared" si="23"/>
        <v>0</v>
      </c>
      <c r="Q160" s="133">
        <f>+SUM('12:25'!Q160)</f>
        <v>0</v>
      </c>
      <c r="R160" s="19">
        <f t="shared" si="24"/>
        <v>0</v>
      </c>
      <c r="S160" s="137">
        <f t="shared" si="25"/>
        <v>0</v>
      </c>
      <c r="T160" s="20">
        <v>6</v>
      </c>
      <c r="U160" s="133">
        <f>+SUM('12:25'!U160)</f>
        <v>0</v>
      </c>
      <c r="V160" s="143"/>
      <c r="W160" s="133">
        <f>+SUM('12:25'!W160)</f>
        <v>0</v>
      </c>
      <c r="X160" s="133">
        <f>+SUM('12:25'!X160)</f>
        <v>0</v>
      </c>
      <c r="Y160" s="133">
        <f>+SUM('12:25'!Y160)</f>
        <v>0</v>
      </c>
      <c r="Z160" s="133">
        <f>+SUM('12:25'!Z160)</f>
        <v>0</v>
      </c>
      <c r="AA160" s="133">
        <f>+SUM('12:25'!AA160)</f>
        <v>0</v>
      </c>
      <c r="AB160" s="133">
        <f>+SUM('12:25'!AB160)</f>
        <v>0</v>
      </c>
      <c r="AC160" s="133">
        <f>+SUM('12:25'!AC160)</f>
        <v>0</v>
      </c>
      <c r="AD160" s="1">
        <f t="shared" si="19"/>
        <v>0</v>
      </c>
      <c r="AE160" s="52"/>
      <c r="AF160" s="1">
        <f t="shared" si="20"/>
        <v>0</v>
      </c>
    </row>
    <row r="161" spans="1:32" s="2" customFormat="1" ht="21.95" customHeight="1">
      <c r="A161" s="140">
        <v>300341</v>
      </c>
      <c r="B161" s="135">
        <v>18501</v>
      </c>
      <c r="C161" s="244" t="s">
        <v>154</v>
      </c>
      <c r="D161" s="245"/>
      <c r="E161" s="139" t="s">
        <v>39</v>
      </c>
      <c r="F161" s="27"/>
      <c r="G161" s="133">
        <f>+SUM('12:25'!G161)</f>
        <v>0</v>
      </c>
      <c r="H161" s="133">
        <f>+SUM('12:25'!H161)</f>
        <v>0</v>
      </c>
      <c r="I161" s="133">
        <f>+SUM('12:25'!I161)</f>
        <v>0</v>
      </c>
      <c r="J161" s="133">
        <f>+SUM('12:25'!J161)</f>
        <v>0</v>
      </c>
      <c r="K161" s="137">
        <f t="shared" si="21"/>
        <v>0</v>
      </c>
      <c r="L161" s="137">
        <f t="shared" si="22"/>
        <v>0</v>
      </c>
      <c r="M161" s="137">
        <v>439.3</v>
      </c>
      <c r="N161" s="15">
        <f t="shared" ref="N161:N167" si="26">+M161*1000/(169.7*4*13*60)*T161</f>
        <v>4.1485351223123761</v>
      </c>
      <c r="O161" s="133">
        <f>+SUM('12:25'!O161)</f>
        <v>0</v>
      </c>
      <c r="P161" s="137">
        <f t="shared" si="23"/>
        <v>0</v>
      </c>
      <c r="Q161" s="133">
        <f>+SUM('12:25'!Q161)</f>
        <v>0</v>
      </c>
      <c r="R161" s="19">
        <f t="shared" si="24"/>
        <v>0</v>
      </c>
      <c r="S161" s="137">
        <f t="shared" si="25"/>
        <v>0</v>
      </c>
      <c r="T161" s="20">
        <v>5</v>
      </c>
      <c r="U161" s="133">
        <f>+SUM('12:25'!U161)</f>
        <v>0</v>
      </c>
      <c r="V161" s="143"/>
      <c r="W161" s="133">
        <f>+SUM('12:25'!W161)</f>
        <v>0</v>
      </c>
      <c r="X161" s="133">
        <f>+SUM('12:25'!X161)</f>
        <v>0</v>
      </c>
      <c r="Y161" s="133">
        <f>+SUM('12:25'!Y161)</f>
        <v>0</v>
      </c>
      <c r="Z161" s="133">
        <f>+SUM('12:25'!Z161)</f>
        <v>0</v>
      </c>
      <c r="AA161" s="133">
        <f>+SUM('12:25'!AA161)</f>
        <v>0</v>
      </c>
      <c r="AB161" s="133">
        <f>+SUM('12:25'!AB161)</f>
        <v>0</v>
      </c>
      <c r="AC161" s="133">
        <f>+SUM('12:25'!AC161)</f>
        <v>0</v>
      </c>
      <c r="AD161" s="1">
        <f t="shared" si="19"/>
        <v>0</v>
      </c>
      <c r="AE161" s="52">
        <v>165.91</v>
      </c>
      <c r="AF161" s="1">
        <f t="shared" si="20"/>
        <v>0</v>
      </c>
    </row>
    <row r="162" spans="1:32" s="2" customFormat="1" ht="21.95" customHeight="1">
      <c r="A162" s="140">
        <v>300342</v>
      </c>
      <c r="B162" s="135">
        <v>18501</v>
      </c>
      <c r="C162" s="244" t="s">
        <v>154</v>
      </c>
      <c r="D162" s="245"/>
      <c r="E162" s="139" t="s">
        <v>80</v>
      </c>
      <c r="F162" s="27"/>
      <c r="G162" s="133">
        <f>+SUM('12:25'!G162)</f>
        <v>0</v>
      </c>
      <c r="H162" s="133">
        <f>+SUM('12:25'!H162)</f>
        <v>0</v>
      </c>
      <c r="I162" s="133">
        <f>+SUM('12:25'!I162)</f>
        <v>0</v>
      </c>
      <c r="J162" s="133">
        <f>+SUM('12:25'!J162)</f>
        <v>0</v>
      </c>
      <c r="K162" s="137">
        <f t="shared" si="21"/>
        <v>0</v>
      </c>
      <c r="L162" s="137">
        <f t="shared" si="22"/>
        <v>0</v>
      </c>
      <c r="M162" s="137">
        <v>439.3</v>
      </c>
      <c r="N162" s="15">
        <f t="shared" si="26"/>
        <v>4.1485351223123761</v>
      </c>
      <c r="O162" s="133">
        <f>+SUM('12:25'!O162)</f>
        <v>0</v>
      </c>
      <c r="P162" s="137">
        <f t="shared" si="23"/>
        <v>0</v>
      </c>
      <c r="Q162" s="133">
        <f>+SUM('12:25'!Q162)</f>
        <v>0</v>
      </c>
      <c r="R162" s="19">
        <f t="shared" si="24"/>
        <v>0</v>
      </c>
      <c r="S162" s="137">
        <f t="shared" si="25"/>
        <v>0</v>
      </c>
      <c r="T162" s="20">
        <v>5</v>
      </c>
      <c r="U162" s="133">
        <f>+SUM('12:25'!U162)</f>
        <v>0</v>
      </c>
      <c r="V162" s="143"/>
      <c r="W162" s="133">
        <f>+SUM('12:25'!W162)</f>
        <v>0</v>
      </c>
      <c r="X162" s="133">
        <f>+SUM('12:25'!X162)</f>
        <v>0</v>
      </c>
      <c r="Y162" s="133">
        <f>+SUM('12:25'!Y162)</f>
        <v>0</v>
      </c>
      <c r="Z162" s="133">
        <f>+SUM('12:25'!Z162)</f>
        <v>0</v>
      </c>
      <c r="AA162" s="133">
        <f>+SUM('12:25'!AA162)</f>
        <v>0</v>
      </c>
      <c r="AB162" s="133">
        <f>+SUM('12:25'!AB162)</f>
        <v>0</v>
      </c>
      <c r="AC162" s="133">
        <f>+SUM('12:25'!AC162)</f>
        <v>0</v>
      </c>
      <c r="AD162" s="1">
        <f t="shared" si="19"/>
        <v>0</v>
      </c>
      <c r="AE162" s="52">
        <v>165.91</v>
      </c>
      <c r="AF162" s="1">
        <f t="shared" si="20"/>
        <v>0</v>
      </c>
    </row>
    <row r="163" spans="1:32" s="2" customFormat="1" ht="21.95" customHeight="1">
      <c r="A163" s="140">
        <v>300343</v>
      </c>
      <c r="B163" s="135">
        <v>18501</v>
      </c>
      <c r="C163" s="244" t="s">
        <v>154</v>
      </c>
      <c r="D163" s="245"/>
      <c r="E163" s="139" t="s">
        <v>35</v>
      </c>
      <c r="F163" s="27"/>
      <c r="G163" s="133">
        <f>+SUM('12:25'!G163)</f>
        <v>0</v>
      </c>
      <c r="H163" s="133">
        <f>+SUM('12:25'!H163)</f>
        <v>0</v>
      </c>
      <c r="I163" s="133">
        <f>+SUM('12:25'!I163)</f>
        <v>0</v>
      </c>
      <c r="J163" s="133">
        <f>+SUM('12:25'!J163)</f>
        <v>0</v>
      </c>
      <c r="K163" s="137">
        <f t="shared" si="21"/>
        <v>0</v>
      </c>
      <c r="L163" s="137">
        <f t="shared" si="22"/>
        <v>0</v>
      </c>
      <c r="M163" s="137">
        <v>455.4</v>
      </c>
      <c r="N163" s="15">
        <f t="shared" si="26"/>
        <v>4.3005756765332483</v>
      </c>
      <c r="O163" s="133">
        <f>+SUM('12:25'!O163)</f>
        <v>0</v>
      </c>
      <c r="P163" s="137">
        <f t="shared" si="23"/>
        <v>0</v>
      </c>
      <c r="Q163" s="133">
        <f>+SUM('12:25'!Q163)</f>
        <v>0</v>
      </c>
      <c r="R163" s="19">
        <f t="shared" si="24"/>
        <v>0</v>
      </c>
      <c r="S163" s="137">
        <f t="shared" si="25"/>
        <v>0</v>
      </c>
      <c r="T163" s="20">
        <v>5</v>
      </c>
      <c r="U163" s="133">
        <f>+SUM('12:25'!U163)</f>
        <v>0</v>
      </c>
      <c r="V163" s="143"/>
      <c r="W163" s="133">
        <f>+SUM('12:25'!W163)</f>
        <v>0</v>
      </c>
      <c r="X163" s="133">
        <f>+SUM('12:25'!X163)</f>
        <v>0</v>
      </c>
      <c r="Y163" s="133">
        <f>+SUM('12:25'!Y163)</f>
        <v>0</v>
      </c>
      <c r="Z163" s="133">
        <f>+SUM('12:25'!Z163)</f>
        <v>0</v>
      </c>
      <c r="AA163" s="133">
        <f>+SUM('12:25'!AA163)</f>
        <v>0</v>
      </c>
      <c r="AB163" s="133">
        <f>+SUM('12:25'!AB163)</f>
        <v>0</v>
      </c>
      <c r="AC163" s="133">
        <f>+SUM('12:25'!AC163)</f>
        <v>0</v>
      </c>
      <c r="AD163" s="1">
        <f t="shared" si="19"/>
        <v>0</v>
      </c>
      <c r="AE163" s="52">
        <v>132.72999999999999</v>
      </c>
      <c r="AF163" s="1">
        <f t="shared" si="20"/>
        <v>0</v>
      </c>
    </row>
    <row r="164" spans="1:32" s="2" customFormat="1" ht="21.95" customHeight="1">
      <c r="A164" s="140">
        <v>300344</v>
      </c>
      <c r="B164" s="135">
        <v>18501</v>
      </c>
      <c r="C164" s="244" t="s">
        <v>154</v>
      </c>
      <c r="D164" s="245"/>
      <c r="E164" s="139" t="s">
        <v>40</v>
      </c>
      <c r="F164" s="27"/>
      <c r="G164" s="133">
        <f>+SUM('12:25'!G164)</f>
        <v>0</v>
      </c>
      <c r="H164" s="133">
        <f>+SUM('12:25'!H164)</f>
        <v>0</v>
      </c>
      <c r="I164" s="133">
        <f>+SUM('12:25'!I164)</f>
        <v>0</v>
      </c>
      <c r="J164" s="133">
        <f>+SUM('12:25'!J164)</f>
        <v>0</v>
      </c>
      <c r="K164" s="137">
        <f t="shared" si="21"/>
        <v>0</v>
      </c>
      <c r="L164" s="137">
        <f t="shared" si="22"/>
        <v>0</v>
      </c>
      <c r="M164" s="137">
        <v>455.4</v>
      </c>
      <c r="N164" s="15">
        <f t="shared" si="26"/>
        <v>4.3005756765332483</v>
      </c>
      <c r="O164" s="133">
        <f>+SUM('12:25'!O164)</f>
        <v>0</v>
      </c>
      <c r="P164" s="137">
        <f t="shared" si="23"/>
        <v>0</v>
      </c>
      <c r="Q164" s="133">
        <f>+SUM('12:25'!Q164)</f>
        <v>0</v>
      </c>
      <c r="R164" s="19">
        <f t="shared" si="24"/>
        <v>0</v>
      </c>
      <c r="S164" s="137">
        <f t="shared" si="25"/>
        <v>0</v>
      </c>
      <c r="T164" s="20">
        <v>5</v>
      </c>
      <c r="U164" s="133">
        <f>+SUM('12:25'!U164)</f>
        <v>0</v>
      </c>
      <c r="V164" s="143"/>
      <c r="W164" s="133">
        <f>+SUM('12:25'!W164)</f>
        <v>0</v>
      </c>
      <c r="X164" s="133">
        <f>+SUM('12:25'!X164)</f>
        <v>0</v>
      </c>
      <c r="Y164" s="133">
        <f>+SUM('12:25'!Y164)</f>
        <v>0</v>
      </c>
      <c r="Z164" s="133">
        <f>+SUM('12:25'!Z164)</f>
        <v>0</v>
      </c>
      <c r="AA164" s="133">
        <f>+SUM('12:25'!AA164)</f>
        <v>0</v>
      </c>
      <c r="AB164" s="133">
        <f>+SUM('12:25'!AB164)</f>
        <v>0</v>
      </c>
      <c r="AC164" s="133">
        <f>+SUM('12:25'!AC164)</f>
        <v>0</v>
      </c>
      <c r="AD164" s="1">
        <f t="shared" si="19"/>
        <v>0</v>
      </c>
      <c r="AE164" s="52">
        <v>132.72999999999999</v>
      </c>
      <c r="AF164" s="1">
        <f t="shared" si="20"/>
        <v>0</v>
      </c>
    </row>
    <row r="165" spans="1:32" s="2" customFormat="1" ht="21.95" customHeight="1">
      <c r="A165" s="140">
        <v>300396</v>
      </c>
      <c r="B165" s="135">
        <v>18501</v>
      </c>
      <c r="C165" s="246" t="s">
        <v>155</v>
      </c>
      <c r="D165" s="247"/>
      <c r="E165" s="32" t="s">
        <v>41</v>
      </c>
      <c r="F165" s="27"/>
      <c r="G165" s="133">
        <f>+SUM('12:25'!G165)</f>
        <v>0</v>
      </c>
      <c r="H165" s="133">
        <f>+SUM('12:25'!H165)</f>
        <v>0</v>
      </c>
      <c r="I165" s="133">
        <f>+SUM('12:25'!I165)</f>
        <v>0</v>
      </c>
      <c r="J165" s="133">
        <f>+SUM('12:25'!J165)</f>
        <v>0</v>
      </c>
      <c r="K165" s="137">
        <f t="shared" si="21"/>
        <v>0</v>
      </c>
      <c r="L165" s="137">
        <f t="shared" si="22"/>
        <v>0</v>
      </c>
      <c r="M165" s="40">
        <v>417.1</v>
      </c>
      <c r="N165" s="15">
        <f t="shared" si="26"/>
        <v>3.9388891407158937</v>
      </c>
      <c r="O165" s="133">
        <f>+SUM('12:25'!O165)</f>
        <v>0</v>
      </c>
      <c r="P165" s="137">
        <f t="shared" si="23"/>
        <v>0</v>
      </c>
      <c r="Q165" s="133">
        <f>+SUM('12:25'!Q165)</f>
        <v>0</v>
      </c>
      <c r="R165" s="19">
        <f t="shared" si="24"/>
        <v>0</v>
      </c>
      <c r="S165" s="137">
        <f t="shared" si="25"/>
        <v>0</v>
      </c>
      <c r="T165" s="20">
        <v>5</v>
      </c>
      <c r="U165" s="133">
        <f>+SUM('12:25'!U165)</f>
        <v>0</v>
      </c>
      <c r="V165" s="143"/>
      <c r="W165" s="133">
        <f>+SUM('12:25'!W165)</f>
        <v>0</v>
      </c>
      <c r="X165" s="133">
        <f>+SUM('12:25'!X165)</f>
        <v>0</v>
      </c>
      <c r="Y165" s="133">
        <f>+SUM('12:25'!Y165)</f>
        <v>0</v>
      </c>
      <c r="Z165" s="133">
        <f>+SUM('12:25'!Z165)</f>
        <v>0</v>
      </c>
      <c r="AA165" s="133">
        <f>+SUM('12:25'!AA165)</f>
        <v>0</v>
      </c>
      <c r="AB165" s="133">
        <f>+SUM('12:25'!AB165)</f>
        <v>0</v>
      </c>
      <c r="AC165" s="133">
        <f>+SUM('12:25'!AC165)</f>
        <v>0</v>
      </c>
      <c r="AD165" s="1">
        <f t="shared" si="19"/>
        <v>0</v>
      </c>
      <c r="AE165" s="52">
        <v>196.08</v>
      </c>
      <c r="AF165" s="1">
        <f t="shared" si="20"/>
        <v>0</v>
      </c>
    </row>
    <row r="166" spans="1:32" s="2" customFormat="1" ht="21.95" customHeight="1">
      <c r="A166" s="140">
        <v>300397</v>
      </c>
      <c r="B166" s="135">
        <v>18501</v>
      </c>
      <c r="C166" s="246" t="s">
        <v>155</v>
      </c>
      <c r="D166" s="247"/>
      <c r="E166" s="32" t="s">
        <v>66</v>
      </c>
      <c r="F166" s="27"/>
      <c r="G166" s="133">
        <f>+SUM('12:25'!G166)</f>
        <v>0</v>
      </c>
      <c r="H166" s="133">
        <f>+SUM('12:25'!H166)</f>
        <v>0</v>
      </c>
      <c r="I166" s="133">
        <f>+SUM('12:25'!I166)</f>
        <v>0</v>
      </c>
      <c r="J166" s="133">
        <f>+SUM('12:25'!J166)</f>
        <v>0</v>
      </c>
      <c r="K166" s="137">
        <f t="shared" si="21"/>
        <v>0</v>
      </c>
      <c r="L166" s="137">
        <f t="shared" si="22"/>
        <v>0</v>
      </c>
      <c r="M166" s="40">
        <v>417.1</v>
      </c>
      <c r="N166" s="15">
        <f t="shared" si="26"/>
        <v>3.9388891407158937</v>
      </c>
      <c r="O166" s="133">
        <f>+SUM('12:25'!O166)</f>
        <v>0</v>
      </c>
      <c r="P166" s="137">
        <f t="shared" si="23"/>
        <v>0</v>
      </c>
      <c r="Q166" s="133">
        <f>+SUM('12:25'!Q166)</f>
        <v>0</v>
      </c>
      <c r="R166" s="19">
        <f t="shared" si="24"/>
        <v>0</v>
      </c>
      <c r="S166" s="137">
        <f t="shared" si="25"/>
        <v>0</v>
      </c>
      <c r="T166" s="20">
        <v>5</v>
      </c>
      <c r="U166" s="133">
        <f>+SUM('12:25'!U166)</f>
        <v>0</v>
      </c>
      <c r="V166" s="143"/>
      <c r="W166" s="133">
        <f>+SUM('12:25'!W166)</f>
        <v>0</v>
      </c>
      <c r="X166" s="133">
        <f>+SUM('12:25'!X166)</f>
        <v>0</v>
      </c>
      <c r="Y166" s="133">
        <f>+SUM('12:25'!Y166)</f>
        <v>0</v>
      </c>
      <c r="Z166" s="133">
        <f>+SUM('12:25'!Z166)</f>
        <v>0</v>
      </c>
      <c r="AA166" s="133">
        <f>+SUM('12:25'!AA166)</f>
        <v>0</v>
      </c>
      <c r="AB166" s="133">
        <f>+SUM('12:25'!AB166)</f>
        <v>0</v>
      </c>
      <c r="AC166" s="133">
        <f>+SUM('12:25'!AC166)</f>
        <v>0</v>
      </c>
      <c r="AD166" s="1">
        <f t="shared" si="19"/>
        <v>0</v>
      </c>
      <c r="AE166" s="52">
        <v>196.08</v>
      </c>
      <c r="AF166" s="1">
        <f t="shared" si="20"/>
        <v>0</v>
      </c>
    </row>
    <row r="167" spans="1:32" s="2" customFormat="1" ht="21.95" customHeight="1">
      <c r="A167" s="140">
        <v>300398</v>
      </c>
      <c r="B167" s="135">
        <v>18501</v>
      </c>
      <c r="C167" s="246" t="s">
        <v>155</v>
      </c>
      <c r="D167" s="247"/>
      <c r="E167" s="32" t="s">
        <v>149</v>
      </c>
      <c r="F167" s="27"/>
      <c r="G167" s="133">
        <f>+SUM('12:25'!G167)</f>
        <v>0</v>
      </c>
      <c r="H167" s="133">
        <f>+SUM('12:25'!H167)</f>
        <v>0</v>
      </c>
      <c r="I167" s="133">
        <f>+SUM('12:25'!I167)</f>
        <v>0</v>
      </c>
      <c r="J167" s="133">
        <f>+SUM('12:25'!J167)</f>
        <v>0</v>
      </c>
      <c r="K167" s="137">
        <f t="shared" si="21"/>
        <v>0</v>
      </c>
      <c r="L167" s="137">
        <f t="shared" si="22"/>
        <v>0</v>
      </c>
      <c r="M167" s="40">
        <v>417.1</v>
      </c>
      <c r="N167" s="15">
        <f t="shared" si="26"/>
        <v>3.9388891407158937</v>
      </c>
      <c r="O167" s="133">
        <f>+SUM('12:25'!O167)</f>
        <v>0</v>
      </c>
      <c r="P167" s="137">
        <f t="shared" si="23"/>
        <v>0</v>
      </c>
      <c r="Q167" s="133">
        <f>+SUM('12:25'!Q167)</f>
        <v>0</v>
      </c>
      <c r="R167" s="19">
        <f t="shared" si="24"/>
        <v>0</v>
      </c>
      <c r="S167" s="137">
        <f t="shared" si="25"/>
        <v>0</v>
      </c>
      <c r="T167" s="20">
        <v>5</v>
      </c>
      <c r="U167" s="133">
        <f>+SUM('12:25'!U167)</f>
        <v>0</v>
      </c>
      <c r="V167" s="143"/>
      <c r="W167" s="133">
        <f>+SUM('12:25'!W167)</f>
        <v>0</v>
      </c>
      <c r="X167" s="133">
        <f>+SUM('12:25'!X167)</f>
        <v>0</v>
      </c>
      <c r="Y167" s="133">
        <f>+SUM('12:25'!Y167)</f>
        <v>0</v>
      </c>
      <c r="Z167" s="133">
        <f>+SUM('12:25'!Z167)</f>
        <v>0</v>
      </c>
      <c r="AA167" s="133">
        <f>+SUM('12:25'!AA167)</f>
        <v>0</v>
      </c>
      <c r="AB167" s="133">
        <f>+SUM('12:25'!AB167)</f>
        <v>0</v>
      </c>
      <c r="AC167" s="133">
        <f>+SUM('12:25'!AC167)</f>
        <v>0</v>
      </c>
      <c r="AD167" s="1">
        <f t="shared" si="19"/>
        <v>0</v>
      </c>
      <c r="AE167" s="52">
        <v>196.08</v>
      </c>
      <c r="AF167" s="1">
        <f t="shared" si="20"/>
        <v>0</v>
      </c>
    </row>
    <row r="168" spans="1:32" s="2" customFormat="1" ht="21.95" customHeight="1">
      <c r="A168" s="140">
        <v>300271</v>
      </c>
      <c r="B168" s="135">
        <v>18501</v>
      </c>
      <c r="C168" s="226" t="s">
        <v>156</v>
      </c>
      <c r="D168" s="226"/>
      <c r="E168" s="139" t="s">
        <v>142</v>
      </c>
      <c r="F168" s="27"/>
      <c r="G168" s="133">
        <f>+SUM('12:25'!G168)</f>
        <v>0</v>
      </c>
      <c r="H168" s="133">
        <f>+SUM('12:25'!H168)</f>
        <v>0</v>
      </c>
      <c r="I168" s="133">
        <f>+SUM('12:25'!I168)</f>
        <v>0</v>
      </c>
      <c r="J168" s="133">
        <f>+SUM('12:25'!J168)</f>
        <v>0</v>
      </c>
      <c r="K168" s="137">
        <f t="shared" si="21"/>
        <v>0</v>
      </c>
      <c r="L168" s="137">
        <f t="shared" si="22"/>
        <v>0</v>
      </c>
      <c r="M168" s="137">
        <v>580.1</v>
      </c>
      <c r="N168" s="137">
        <f>+M168*1000/(202*4*13*60)*T168</f>
        <v>3.6817720233561819</v>
      </c>
      <c r="O168" s="133">
        <f>+SUM('12:25'!O168)</f>
        <v>0</v>
      </c>
      <c r="P168" s="137">
        <f t="shared" si="23"/>
        <v>0</v>
      </c>
      <c r="Q168" s="133">
        <f>+SUM('12:25'!Q168)</f>
        <v>0</v>
      </c>
      <c r="R168" s="19">
        <f t="shared" si="24"/>
        <v>0</v>
      </c>
      <c r="S168" s="137">
        <f t="shared" si="25"/>
        <v>0</v>
      </c>
      <c r="T168" s="20">
        <v>4</v>
      </c>
      <c r="U168" s="133">
        <f>+SUM('12:25'!U168)</f>
        <v>0</v>
      </c>
      <c r="V168" s="143" t="str">
        <f t="array" ref="V168">IF(ISERROR(L168/K168),"",L168/K168)</f>
        <v/>
      </c>
      <c r="W168" s="133">
        <f>+SUM('12:25'!W168)</f>
        <v>0</v>
      </c>
      <c r="X168" s="133">
        <f>+SUM('12:25'!X168)</f>
        <v>0</v>
      </c>
      <c r="Y168" s="133">
        <f>+SUM('12:25'!Y168)</f>
        <v>0</v>
      </c>
      <c r="Z168" s="133">
        <f>+SUM('12:25'!Z168)</f>
        <v>0</v>
      </c>
      <c r="AA168" s="133">
        <f>+SUM('12:25'!AA168)</f>
        <v>0</v>
      </c>
      <c r="AB168" s="133">
        <f>+SUM('12:25'!AB168)</f>
        <v>0</v>
      </c>
      <c r="AC168" s="133">
        <f>+SUM('12:25'!AC168)</f>
        <v>0</v>
      </c>
      <c r="AD168" s="1">
        <f t="shared" si="19"/>
        <v>0</v>
      </c>
      <c r="AE168" s="52">
        <v>133.19</v>
      </c>
      <c r="AF168" s="1">
        <f t="shared" si="20"/>
        <v>0</v>
      </c>
    </row>
    <row r="169" spans="1:32" s="2" customFormat="1" ht="21.95" customHeight="1">
      <c r="A169" s="140">
        <v>300009</v>
      </c>
      <c r="B169" s="135">
        <v>18501</v>
      </c>
      <c r="C169" s="226" t="s">
        <v>157</v>
      </c>
      <c r="D169" s="226" t="s">
        <v>158</v>
      </c>
      <c r="E169" s="139" t="s">
        <v>135</v>
      </c>
      <c r="F169" s="27"/>
      <c r="G169" s="133">
        <f>+SUM('12:25'!G169)</f>
        <v>4</v>
      </c>
      <c r="H169" s="133">
        <f>+SUM('12:25'!H169)</f>
        <v>0</v>
      </c>
      <c r="I169" s="133">
        <f>+SUM('12:25'!I169)</f>
        <v>3.875</v>
      </c>
      <c r="J169" s="133">
        <f>+SUM('12:25'!J169)</f>
        <v>50</v>
      </c>
      <c r="K169" s="137">
        <f t="shared" si="21"/>
        <v>2083.1999999999998</v>
      </c>
      <c r="L169" s="137">
        <f t="shared" si="22"/>
        <v>2018.1</v>
      </c>
      <c r="M169" s="15">
        <v>520.79999999999995</v>
      </c>
      <c r="N169" s="137">
        <f>+M169*1000/(188*4*13*60)*T169</f>
        <v>5.3273322422258591</v>
      </c>
      <c r="O169" s="133">
        <f>+SUM('12:25'!O169)</f>
        <v>0.5</v>
      </c>
      <c r="P169" s="137">
        <f t="shared" si="23"/>
        <v>24.143412438625205</v>
      </c>
      <c r="Q169" s="133">
        <f>+SUM('12:25'!Q169)</f>
        <v>3</v>
      </c>
      <c r="R169" s="19">
        <f t="shared" si="24"/>
        <v>21</v>
      </c>
      <c r="S169" s="137">
        <f t="shared" si="25"/>
        <v>-3.1434124386252051</v>
      </c>
      <c r="T169" s="20">
        <v>6</v>
      </c>
      <c r="U169" s="133">
        <f>+SUM('12:25'!U169)</f>
        <v>7</v>
      </c>
      <c r="V169" s="143">
        <f t="array" ref="V169">IF(ISERROR(L169/K169),"",L169/K169)</f>
        <v>0.96875</v>
      </c>
      <c r="W169" s="133">
        <f>+SUM('12:25'!W169)</f>
        <v>0</v>
      </c>
      <c r="X169" s="133">
        <f>+SUM('12:25'!X169)</f>
        <v>0</v>
      </c>
      <c r="Y169" s="133">
        <f>+SUM('12:25'!Y169)</f>
        <v>0</v>
      </c>
      <c r="Z169" s="133">
        <f>+SUM('12:25'!Z169)</f>
        <v>0</v>
      </c>
      <c r="AA169" s="133">
        <f>+SUM('12:25'!AA169)</f>
        <v>3</v>
      </c>
      <c r="AB169" s="133">
        <f>+SUM('12:25'!AB169)</f>
        <v>0</v>
      </c>
      <c r="AC169" s="133">
        <f>+SUM('12:25'!AC169)</f>
        <v>0</v>
      </c>
      <c r="AD169" s="1">
        <f t="shared" si="19"/>
        <v>2.0181</v>
      </c>
      <c r="AE169" s="52">
        <v>209.67</v>
      </c>
      <c r="AF169" s="1">
        <f t="shared" si="20"/>
        <v>423.13502699999998</v>
      </c>
    </row>
    <row r="170" spans="1:32" s="2" customFormat="1" ht="21.95" customHeight="1">
      <c r="A170" s="140">
        <v>300010</v>
      </c>
      <c r="B170" s="135">
        <v>18501</v>
      </c>
      <c r="C170" s="226" t="s">
        <v>157</v>
      </c>
      <c r="D170" s="226" t="s">
        <v>158</v>
      </c>
      <c r="E170" s="139" t="s">
        <v>80</v>
      </c>
      <c r="F170" s="27"/>
      <c r="G170" s="133">
        <f>+SUM('12:25'!G170)</f>
        <v>4</v>
      </c>
      <c r="H170" s="133">
        <f>+SUM('12:25'!H170)</f>
        <v>0</v>
      </c>
      <c r="I170" s="133">
        <f>+SUM('12:25'!I170)</f>
        <v>4</v>
      </c>
      <c r="J170" s="133">
        <f>+SUM('12:25'!J170)</f>
        <v>0</v>
      </c>
      <c r="K170" s="137">
        <f t="shared" si="21"/>
        <v>2123.6</v>
      </c>
      <c r="L170" s="137">
        <f t="shared" si="22"/>
        <v>2123.6</v>
      </c>
      <c r="M170" s="15">
        <v>530.9</v>
      </c>
      <c r="N170" s="137">
        <f>+M170*1000/(188*4*13*60)*T170</f>
        <v>4.5255387343153304</v>
      </c>
      <c r="O170" s="133">
        <f>+SUM('12:25'!O170)</f>
        <v>0</v>
      </c>
      <c r="P170" s="137">
        <f t="shared" si="23"/>
        <v>18.102154937261322</v>
      </c>
      <c r="Q170" s="133">
        <f>+SUM('12:25'!Q170)</f>
        <v>5</v>
      </c>
      <c r="R170" s="19">
        <f t="shared" si="24"/>
        <v>35</v>
      </c>
      <c r="S170" s="137">
        <f t="shared" si="25"/>
        <v>16.897845062738678</v>
      </c>
      <c r="T170" s="20">
        <v>5</v>
      </c>
      <c r="U170" s="133">
        <f>+SUM('12:25'!U170)</f>
        <v>7</v>
      </c>
      <c r="V170" s="143">
        <f t="array" ref="V170">IF(ISERROR(L170/K170),"",L170/K170)</f>
        <v>1</v>
      </c>
      <c r="W170" s="133">
        <f>+SUM('12:25'!W170)</f>
        <v>0</v>
      </c>
      <c r="X170" s="133">
        <f>+SUM('12:25'!X170)</f>
        <v>0</v>
      </c>
      <c r="Y170" s="133">
        <f>+SUM('12:25'!Y170)</f>
        <v>0</v>
      </c>
      <c r="Z170" s="133">
        <f>+SUM('12:25'!Z170)</f>
        <v>0</v>
      </c>
      <c r="AA170" s="133">
        <f>+SUM('12:25'!AA170)</f>
        <v>0</v>
      </c>
      <c r="AB170" s="133">
        <f>+SUM('12:25'!AB170)</f>
        <v>0</v>
      </c>
      <c r="AC170" s="133">
        <f>+SUM('12:25'!AC170)</f>
        <v>0</v>
      </c>
      <c r="AD170" s="1">
        <f t="shared" si="19"/>
        <v>2.1235999999999997</v>
      </c>
      <c r="AE170" s="52">
        <v>179.72</v>
      </c>
      <c r="AF170" s="1">
        <f t="shared" si="20"/>
        <v>381.65339199999994</v>
      </c>
    </row>
    <row r="171" spans="1:32" s="2" customFormat="1" ht="21.95" customHeight="1">
      <c r="A171" s="140">
        <v>300305</v>
      </c>
      <c r="B171" s="135">
        <v>18501</v>
      </c>
      <c r="C171" s="226" t="s">
        <v>159</v>
      </c>
      <c r="D171" s="226" t="s">
        <v>160</v>
      </c>
      <c r="E171" s="139" t="s">
        <v>57</v>
      </c>
      <c r="F171" s="27"/>
      <c r="G171" s="133">
        <f>+SUM('12:25'!G171)</f>
        <v>0</v>
      </c>
      <c r="H171" s="133">
        <f>+SUM('12:25'!H171)</f>
        <v>0</v>
      </c>
      <c r="I171" s="133">
        <f>+SUM('12:25'!I171)</f>
        <v>0</v>
      </c>
      <c r="J171" s="133">
        <f>+SUM('12:25'!J171)</f>
        <v>0</v>
      </c>
      <c r="K171" s="137">
        <f t="shared" si="21"/>
        <v>0</v>
      </c>
      <c r="L171" s="137">
        <f t="shared" si="22"/>
        <v>0</v>
      </c>
      <c r="M171" s="137">
        <v>530.20000000000005</v>
      </c>
      <c r="N171" s="137">
        <f t="shared" ref="N171:N176" si="27">+M171*1000/(202*4*13*60)*T171</f>
        <v>4.2063340949479562</v>
      </c>
      <c r="O171" s="133">
        <f>+SUM('12:25'!O171)</f>
        <v>0</v>
      </c>
      <c r="P171" s="137">
        <f t="shared" si="23"/>
        <v>0</v>
      </c>
      <c r="Q171" s="133">
        <f>+SUM('12:25'!Q171)</f>
        <v>0</v>
      </c>
      <c r="R171" s="19">
        <f t="shared" si="24"/>
        <v>0</v>
      </c>
      <c r="S171" s="137">
        <f t="shared" si="25"/>
        <v>0</v>
      </c>
      <c r="T171" s="20">
        <v>5</v>
      </c>
      <c r="U171" s="133">
        <f>+SUM('12:25'!U171)</f>
        <v>0</v>
      </c>
      <c r="V171" s="143" t="str">
        <f t="array" ref="V171">IF(ISERROR(L171/K171),"",L171/K171)</f>
        <v/>
      </c>
      <c r="W171" s="133">
        <f>+SUM('12:25'!W171)</f>
        <v>0</v>
      </c>
      <c r="X171" s="133">
        <f>+SUM('12:25'!X171)</f>
        <v>0</v>
      </c>
      <c r="Y171" s="133">
        <f>+SUM('12:25'!Y171)</f>
        <v>0</v>
      </c>
      <c r="Z171" s="133">
        <f>+SUM('12:25'!Z171)</f>
        <v>0</v>
      </c>
      <c r="AA171" s="133">
        <f>+SUM('12:25'!AA171)</f>
        <v>0</v>
      </c>
      <c r="AB171" s="133">
        <f>+SUM('12:25'!AB171)</f>
        <v>0</v>
      </c>
      <c r="AC171" s="133">
        <f>+SUM('12:25'!AC171)</f>
        <v>0</v>
      </c>
      <c r="AD171" s="1">
        <f t="shared" si="19"/>
        <v>0</v>
      </c>
      <c r="AE171" s="52">
        <v>139.38</v>
      </c>
      <c r="AF171" s="1">
        <f t="shared" si="20"/>
        <v>0</v>
      </c>
    </row>
    <row r="172" spans="1:32" s="2" customFormat="1" ht="22.5" customHeight="1">
      <c r="A172" s="140">
        <v>300306</v>
      </c>
      <c r="B172" s="135">
        <v>18501</v>
      </c>
      <c r="C172" s="226" t="s">
        <v>159</v>
      </c>
      <c r="D172" s="226" t="s">
        <v>160</v>
      </c>
      <c r="E172" s="139" t="s">
        <v>117</v>
      </c>
      <c r="F172" s="27"/>
      <c r="G172" s="133">
        <f>+SUM('12:25'!G172)</f>
        <v>0</v>
      </c>
      <c r="H172" s="133">
        <f>+SUM('12:25'!H172)</f>
        <v>0</v>
      </c>
      <c r="I172" s="133">
        <f>+SUM('12:25'!I172)</f>
        <v>0</v>
      </c>
      <c r="J172" s="133">
        <f>+SUM('12:25'!J172)</f>
        <v>0</v>
      </c>
      <c r="K172" s="137">
        <f t="shared" si="21"/>
        <v>0</v>
      </c>
      <c r="L172" s="137">
        <f t="shared" si="22"/>
        <v>0</v>
      </c>
      <c r="M172" s="137">
        <v>538.79999999999995</v>
      </c>
      <c r="N172" s="137">
        <f t="shared" si="27"/>
        <v>4.2745620715917747</v>
      </c>
      <c r="O172" s="133">
        <f>+SUM('12:25'!O172)</f>
        <v>0</v>
      </c>
      <c r="P172" s="137">
        <f t="shared" si="23"/>
        <v>0</v>
      </c>
      <c r="Q172" s="133">
        <f>+SUM('12:25'!Q172)</f>
        <v>0</v>
      </c>
      <c r="R172" s="19">
        <f t="shared" si="24"/>
        <v>0</v>
      </c>
      <c r="S172" s="137">
        <f t="shared" si="25"/>
        <v>0</v>
      </c>
      <c r="T172" s="20">
        <v>5</v>
      </c>
      <c r="U172" s="133">
        <f>+SUM('12:25'!U172)</f>
        <v>0</v>
      </c>
      <c r="V172" s="143" t="str">
        <f t="array" ref="V172">IF(ISERROR(L172/K172),"",L172/K172)</f>
        <v/>
      </c>
      <c r="W172" s="133">
        <f>+SUM('12:25'!W172)</f>
        <v>0</v>
      </c>
      <c r="X172" s="133">
        <f>+SUM('12:25'!X172)</f>
        <v>0</v>
      </c>
      <c r="Y172" s="133">
        <f>+SUM('12:25'!Y172)</f>
        <v>0</v>
      </c>
      <c r="Z172" s="133">
        <f>+SUM('12:25'!Z172)</f>
        <v>0</v>
      </c>
      <c r="AA172" s="133">
        <f>+SUM('12:25'!AA172)</f>
        <v>0</v>
      </c>
      <c r="AB172" s="133">
        <f>+SUM('12:25'!AB172)</f>
        <v>0</v>
      </c>
      <c r="AC172" s="133">
        <f>+SUM('12:25'!AC172)</f>
        <v>0</v>
      </c>
      <c r="AD172" s="1">
        <f t="shared" si="19"/>
        <v>0</v>
      </c>
      <c r="AE172" s="52">
        <v>139.38</v>
      </c>
      <c r="AF172" s="1">
        <f t="shared" si="20"/>
        <v>0</v>
      </c>
    </row>
    <row r="173" spans="1:32" s="2" customFormat="1" ht="21.95" customHeight="1">
      <c r="A173" s="140">
        <v>300307</v>
      </c>
      <c r="B173" s="135">
        <v>18501</v>
      </c>
      <c r="C173" s="226" t="s">
        <v>159</v>
      </c>
      <c r="D173" s="226" t="s">
        <v>160</v>
      </c>
      <c r="E173" s="139" t="s">
        <v>133</v>
      </c>
      <c r="F173" s="27"/>
      <c r="G173" s="133">
        <f>+SUM('12:25'!G173)</f>
        <v>0</v>
      </c>
      <c r="H173" s="133">
        <f>+SUM('12:25'!H173)</f>
        <v>0</v>
      </c>
      <c r="I173" s="133">
        <f>+SUM('12:25'!I173)</f>
        <v>0</v>
      </c>
      <c r="J173" s="133">
        <f>+SUM('12:25'!J173)</f>
        <v>0</v>
      </c>
      <c r="K173" s="137">
        <f t="shared" si="21"/>
        <v>0</v>
      </c>
      <c r="L173" s="137">
        <f t="shared" si="22"/>
        <v>0</v>
      </c>
      <c r="M173" s="137">
        <v>569</v>
      </c>
      <c r="N173" s="137">
        <f t="shared" si="27"/>
        <v>4.5141533384107637</v>
      </c>
      <c r="O173" s="133">
        <f>+SUM('12:25'!O173)</f>
        <v>0</v>
      </c>
      <c r="P173" s="137">
        <f t="shared" si="23"/>
        <v>0</v>
      </c>
      <c r="Q173" s="133">
        <f>+SUM('12:25'!Q173)</f>
        <v>0</v>
      </c>
      <c r="R173" s="19">
        <f t="shared" si="24"/>
        <v>0</v>
      </c>
      <c r="S173" s="137">
        <f t="shared" si="25"/>
        <v>0</v>
      </c>
      <c r="T173" s="20">
        <v>5</v>
      </c>
      <c r="U173" s="133">
        <f>+SUM('12:25'!U173)</f>
        <v>0</v>
      </c>
      <c r="V173" s="143" t="str">
        <f t="array" ref="V173">IF(ISERROR(L173/K173),"",L173/K173)</f>
        <v/>
      </c>
      <c r="W173" s="133">
        <f>+SUM('12:25'!W173)</f>
        <v>0</v>
      </c>
      <c r="X173" s="133">
        <f>+SUM('12:25'!X173)</f>
        <v>0</v>
      </c>
      <c r="Y173" s="133">
        <f>+SUM('12:25'!Y173)</f>
        <v>0</v>
      </c>
      <c r="Z173" s="133">
        <f>+SUM('12:25'!Z173)</f>
        <v>0</v>
      </c>
      <c r="AA173" s="133">
        <f>+SUM('12:25'!AA173)</f>
        <v>0</v>
      </c>
      <c r="AB173" s="133">
        <f>+SUM('12:25'!AB173)</f>
        <v>0</v>
      </c>
      <c r="AC173" s="133">
        <f>+SUM('12:25'!AC173)</f>
        <v>0</v>
      </c>
      <c r="AD173" s="1">
        <f t="shared" si="19"/>
        <v>0</v>
      </c>
      <c r="AE173" s="52">
        <v>139.38</v>
      </c>
      <c r="AF173" s="1">
        <f t="shared" si="20"/>
        <v>0</v>
      </c>
    </row>
    <row r="174" spans="1:32" s="2" customFormat="1" ht="21.95" customHeight="1">
      <c r="A174" s="140">
        <v>300308</v>
      </c>
      <c r="B174" s="135">
        <v>18501</v>
      </c>
      <c r="C174" s="226" t="s">
        <v>159</v>
      </c>
      <c r="D174" s="226" t="s">
        <v>160</v>
      </c>
      <c r="E174" s="139" t="s">
        <v>132</v>
      </c>
      <c r="F174" s="27"/>
      <c r="G174" s="133">
        <f>+SUM('12:25'!G174)</f>
        <v>0</v>
      </c>
      <c r="H174" s="133">
        <f>+SUM('12:25'!H174)</f>
        <v>0</v>
      </c>
      <c r="I174" s="133">
        <f>+SUM('12:25'!I174)</f>
        <v>0</v>
      </c>
      <c r="J174" s="133">
        <f>+SUM('12:25'!J174)</f>
        <v>0</v>
      </c>
      <c r="K174" s="137">
        <f t="shared" si="21"/>
        <v>0</v>
      </c>
      <c r="L174" s="137">
        <f t="shared" si="22"/>
        <v>0</v>
      </c>
      <c r="M174" s="137">
        <v>523.6</v>
      </c>
      <c r="N174" s="137">
        <f t="shared" si="27"/>
        <v>4.1539730896166542</v>
      </c>
      <c r="O174" s="133">
        <f>+SUM('12:25'!O174)</f>
        <v>0</v>
      </c>
      <c r="P174" s="137">
        <f t="shared" si="23"/>
        <v>0</v>
      </c>
      <c r="Q174" s="133">
        <f>+SUM('12:25'!Q174)</f>
        <v>0</v>
      </c>
      <c r="R174" s="19">
        <f t="shared" si="24"/>
        <v>0</v>
      </c>
      <c r="S174" s="137">
        <f t="shared" si="25"/>
        <v>0</v>
      </c>
      <c r="T174" s="20">
        <v>5</v>
      </c>
      <c r="U174" s="133">
        <f>+SUM('12:25'!U174)</f>
        <v>0</v>
      </c>
      <c r="V174" s="143" t="str">
        <f t="array" ref="V174">IF(ISERROR(L174/K174),"",L174/K174)</f>
        <v/>
      </c>
      <c r="W174" s="133">
        <f>+SUM('12:25'!W174)</f>
        <v>0</v>
      </c>
      <c r="X174" s="133">
        <f>+SUM('12:25'!X174)</f>
        <v>0</v>
      </c>
      <c r="Y174" s="133">
        <f>+SUM('12:25'!Y174)</f>
        <v>0</v>
      </c>
      <c r="Z174" s="133">
        <f>+SUM('12:25'!Z174)</f>
        <v>0</v>
      </c>
      <c r="AA174" s="133">
        <f>+SUM('12:25'!AA174)</f>
        <v>0</v>
      </c>
      <c r="AB174" s="133">
        <f>+SUM('12:25'!AB174)</f>
        <v>0</v>
      </c>
      <c r="AC174" s="133">
        <f>+SUM('12:25'!AC174)</f>
        <v>0</v>
      </c>
      <c r="AD174" s="1">
        <f t="shared" si="19"/>
        <v>0</v>
      </c>
      <c r="AE174" s="52">
        <v>139.38</v>
      </c>
      <c r="AF174" s="1">
        <f t="shared" si="20"/>
        <v>0</v>
      </c>
    </row>
    <row r="175" spans="1:32" s="2" customFormat="1" ht="21.95" customHeight="1">
      <c r="A175" s="140">
        <v>300182</v>
      </c>
      <c r="B175" s="135">
        <v>18501</v>
      </c>
      <c r="C175" s="226" t="s">
        <v>161</v>
      </c>
      <c r="D175" s="226" t="s">
        <v>160</v>
      </c>
      <c r="E175" s="139" t="s">
        <v>80</v>
      </c>
      <c r="F175" s="27"/>
      <c r="G175" s="133">
        <f>+SUM('12:25'!G175)</f>
        <v>0</v>
      </c>
      <c r="H175" s="133">
        <f>+SUM('12:25'!H175)</f>
        <v>0</v>
      </c>
      <c r="I175" s="133">
        <f>+SUM('12:25'!I175)</f>
        <v>0</v>
      </c>
      <c r="J175" s="133">
        <f>+SUM('12:25'!J175)</f>
        <v>0</v>
      </c>
      <c r="K175" s="137">
        <f t="shared" si="21"/>
        <v>0</v>
      </c>
      <c r="L175" s="137">
        <f t="shared" si="22"/>
        <v>0</v>
      </c>
      <c r="M175" s="15">
        <v>649.1</v>
      </c>
      <c r="N175" s="137">
        <f t="shared" si="27"/>
        <v>5.1496255394770252</v>
      </c>
      <c r="O175" s="133">
        <f>+SUM('12:25'!O175)</f>
        <v>0</v>
      </c>
      <c r="P175" s="137">
        <f t="shared" si="23"/>
        <v>0</v>
      </c>
      <c r="Q175" s="133">
        <f>+SUM('12:25'!Q175)</f>
        <v>0</v>
      </c>
      <c r="R175" s="19">
        <f t="shared" si="24"/>
        <v>0</v>
      </c>
      <c r="S175" s="137">
        <f t="shared" si="25"/>
        <v>0</v>
      </c>
      <c r="T175" s="20">
        <v>5</v>
      </c>
      <c r="U175" s="133">
        <f>+SUM('12:25'!U175)</f>
        <v>0</v>
      </c>
      <c r="V175" s="143" t="str">
        <f t="array" ref="V175">IF(ISERROR(L175/K175),"",L175/K175)</f>
        <v/>
      </c>
      <c r="W175" s="133">
        <f>+SUM('12:25'!W175)</f>
        <v>0</v>
      </c>
      <c r="X175" s="133">
        <f>+SUM('12:25'!X175)</f>
        <v>0</v>
      </c>
      <c r="Y175" s="133">
        <f>+SUM('12:25'!Y175)</f>
        <v>0</v>
      </c>
      <c r="Z175" s="133">
        <f>+SUM('12:25'!Z175)</f>
        <v>0</v>
      </c>
      <c r="AA175" s="133">
        <f>+SUM('12:25'!AA175)</f>
        <v>0</v>
      </c>
      <c r="AB175" s="133">
        <f>+SUM('12:25'!AB175)</f>
        <v>0</v>
      </c>
      <c r="AC175" s="133">
        <f>+SUM('12:25'!AC175)</f>
        <v>0</v>
      </c>
      <c r="AD175" s="1">
        <f t="shared" si="19"/>
        <v>0</v>
      </c>
      <c r="AE175" s="52">
        <v>165.62</v>
      </c>
      <c r="AF175" s="1">
        <f t="shared" si="20"/>
        <v>0</v>
      </c>
    </row>
    <row r="176" spans="1:32" s="2" customFormat="1" ht="21.95" customHeight="1">
      <c r="A176" s="140">
        <v>300185</v>
      </c>
      <c r="B176" s="135">
        <v>18501</v>
      </c>
      <c r="C176" s="226" t="s">
        <v>161</v>
      </c>
      <c r="D176" s="226" t="s">
        <v>160</v>
      </c>
      <c r="E176" s="139" t="s">
        <v>135</v>
      </c>
      <c r="F176" s="27"/>
      <c r="G176" s="133">
        <f>+SUM('12:25'!G176)</f>
        <v>0</v>
      </c>
      <c r="H176" s="133">
        <f>+SUM('12:25'!H176)</f>
        <v>0</v>
      </c>
      <c r="I176" s="133">
        <f>+SUM('12:25'!I176)</f>
        <v>0</v>
      </c>
      <c r="J176" s="133">
        <f>+SUM('12:25'!J176)</f>
        <v>0</v>
      </c>
      <c r="K176" s="137">
        <f t="shared" si="21"/>
        <v>0</v>
      </c>
      <c r="L176" s="137">
        <f t="shared" si="22"/>
        <v>0</v>
      </c>
      <c r="M176" s="15">
        <v>638</v>
      </c>
      <c r="N176" s="137">
        <f t="shared" si="27"/>
        <v>6.0738766184310737</v>
      </c>
      <c r="O176" s="133">
        <f>+SUM('12:25'!O176)</f>
        <v>0</v>
      </c>
      <c r="P176" s="137">
        <f t="shared" si="23"/>
        <v>0</v>
      </c>
      <c r="Q176" s="133">
        <f>+SUM('12:25'!Q176)</f>
        <v>0</v>
      </c>
      <c r="R176" s="19">
        <f t="shared" si="24"/>
        <v>0</v>
      </c>
      <c r="S176" s="137">
        <f t="shared" si="25"/>
        <v>0</v>
      </c>
      <c r="T176" s="20">
        <v>6</v>
      </c>
      <c r="U176" s="133">
        <f>+SUM('12:25'!U176)</f>
        <v>0</v>
      </c>
      <c r="V176" s="143" t="str">
        <f t="array" ref="V176">IF(ISERROR(L176/K176),"",L176/K176)</f>
        <v/>
      </c>
      <c r="W176" s="133">
        <f>+SUM('12:25'!W176)</f>
        <v>0</v>
      </c>
      <c r="X176" s="133">
        <f>+SUM('12:25'!X176)</f>
        <v>0</v>
      </c>
      <c r="Y176" s="133">
        <f>+SUM('12:25'!Y176)</f>
        <v>0</v>
      </c>
      <c r="Z176" s="133">
        <f>+SUM('12:25'!Z176)</f>
        <v>0</v>
      </c>
      <c r="AA176" s="133">
        <f>+SUM('12:25'!AA176)</f>
        <v>0</v>
      </c>
      <c r="AB176" s="133">
        <f>+SUM('12:25'!AB176)</f>
        <v>0</v>
      </c>
      <c r="AC176" s="133">
        <f>+SUM('12:25'!AC176)</f>
        <v>0</v>
      </c>
      <c r="AD176" s="1">
        <f t="shared" si="19"/>
        <v>0</v>
      </c>
      <c r="AE176" s="52">
        <v>193.22</v>
      </c>
      <c r="AF176" s="1">
        <f t="shared" si="20"/>
        <v>0</v>
      </c>
    </row>
    <row r="177" spans="1:32" s="2" customFormat="1" ht="21.95" customHeight="1">
      <c r="A177" s="140">
        <v>300272</v>
      </c>
      <c r="B177" s="135">
        <v>18502</v>
      </c>
      <c r="C177" s="226" t="s">
        <v>162</v>
      </c>
      <c r="D177" s="226"/>
      <c r="E177" s="139" t="s">
        <v>42</v>
      </c>
      <c r="F177" s="27"/>
      <c r="G177" s="133">
        <f>+SUM('12:25'!G177)</f>
        <v>0</v>
      </c>
      <c r="H177" s="133">
        <f>+SUM('12:25'!H177)</f>
        <v>0</v>
      </c>
      <c r="I177" s="133">
        <f>+SUM('12:25'!I177)</f>
        <v>0</v>
      </c>
      <c r="J177" s="133">
        <f>+SUM('12:25'!J177)</f>
        <v>0</v>
      </c>
      <c r="K177" s="137">
        <f t="shared" si="21"/>
        <v>0</v>
      </c>
      <c r="L177" s="137">
        <f t="shared" si="22"/>
        <v>0</v>
      </c>
      <c r="M177" s="137">
        <v>523.9</v>
      </c>
      <c r="N177" s="137">
        <f>+M177*1000/(128*4*13*60)*T177</f>
        <v>5.247395833333333</v>
      </c>
      <c r="O177" s="133">
        <f>+SUM('12:25'!O177)</f>
        <v>0</v>
      </c>
      <c r="P177" s="137">
        <f t="shared" si="23"/>
        <v>0</v>
      </c>
      <c r="Q177" s="133">
        <f>+SUM('12:25'!Q177)</f>
        <v>0</v>
      </c>
      <c r="R177" s="19">
        <f t="shared" si="24"/>
        <v>0</v>
      </c>
      <c r="S177" s="137">
        <f t="shared" si="25"/>
        <v>0</v>
      </c>
      <c r="T177" s="20">
        <v>4</v>
      </c>
      <c r="U177" s="133">
        <f>+SUM('12:25'!U177)</f>
        <v>0</v>
      </c>
      <c r="V177" s="143" t="str">
        <f t="array" ref="V177">IF(ISERROR(L177/K177),"",L177/K177)</f>
        <v/>
      </c>
      <c r="W177" s="133">
        <f>+SUM('12:25'!W177)</f>
        <v>0</v>
      </c>
      <c r="X177" s="133">
        <f>+SUM('12:25'!X177)</f>
        <v>0</v>
      </c>
      <c r="Y177" s="133">
        <f>+SUM('12:25'!Y177)</f>
        <v>0</v>
      </c>
      <c r="Z177" s="133">
        <f>+SUM('12:25'!Z177)</f>
        <v>0</v>
      </c>
      <c r="AA177" s="133">
        <f>+SUM('12:25'!AA177)</f>
        <v>0</v>
      </c>
      <c r="AB177" s="133">
        <f>+SUM('12:25'!AB177)</f>
        <v>0</v>
      </c>
      <c r="AC177" s="133">
        <f>+SUM('12:25'!AC177)</f>
        <v>0</v>
      </c>
      <c r="AD177" s="1">
        <f t="shared" si="19"/>
        <v>0</v>
      </c>
      <c r="AE177" s="52">
        <v>190.64</v>
      </c>
      <c r="AF177" s="1">
        <f t="shared" si="20"/>
        <v>0</v>
      </c>
    </row>
    <row r="178" spans="1:32" s="2" customFormat="1" ht="21.95" customHeight="1">
      <c r="A178" s="140">
        <v>300273</v>
      </c>
      <c r="B178" s="135">
        <v>18502</v>
      </c>
      <c r="C178" s="226" t="s">
        <v>162</v>
      </c>
      <c r="D178" s="226"/>
      <c r="E178" s="139" t="s">
        <v>163</v>
      </c>
      <c r="F178" s="27"/>
      <c r="G178" s="133">
        <f>+SUM('12:25'!G178)</f>
        <v>0</v>
      </c>
      <c r="H178" s="133">
        <f>+SUM('12:25'!H178)</f>
        <v>0</v>
      </c>
      <c r="I178" s="133">
        <f>+SUM('12:25'!I178)</f>
        <v>0</v>
      </c>
      <c r="J178" s="133">
        <f>+SUM('12:25'!J178)</f>
        <v>0</v>
      </c>
      <c r="K178" s="137">
        <f t="shared" si="21"/>
        <v>0</v>
      </c>
      <c r="L178" s="137">
        <f t="shared" si="22"/>
        <v>0</v>
      </c>
      <c r="M178" s="137">
        <v>523.9</v>
      </c>
      <c r="N178" s="137">
        <f>+M178*1000/(128*4*13*60)*T178</f>
        <v>6.5592447916666661</v>
      </c>
      <c r="O178" s="133">
        <f>+SUM('12:25'!O178)</f>
        <v>0</v>
      </c>
      <c r="P178" s="137">
        <f t="shared" si="23"/>
        <v>0</v>
      </c>
      <c r="Q178" s="133">
        <f>+SUM('12:25'!Q178)</f>
        <v>0</v>
      </c>
      <c r="R178" s="19">
        <f t="shared" si="24"/>
        <v>0</v>
      </c>
      <c r="S178" s="137">
        <f t="shared" si="25"/>
        <v>0</v>
      </c>
      <c r="T178" s="20">
        <v>5</v>
      </c>
      <c r="U178" s="133">
        <f>+SUM('12:25'!U178)</f>
        <v>0</v>
      </c>
      <c r="V178" s="143" t="str">
        <f t="array" ref="V178">IF(ISERROR(L178/K178),"",L178/K178)</f>
        <v/>
      </c>
      <c r="W178" s="133">
        <f>+SUM('12:25'!W178)</f>
        <v>0</v>
      </c>
      <c r="X178" s="133">
        <f>+SUM('12:25'!X178)</f>
        <v>0</v>
      </c>
      <c r="Y178" s="133">
        <f>+SUM('12:25'!Y178)</f>
        <v>0</v>
      </c>
      <c r="Z178" s="133">
        <f>+SUM('12:25'!Z178)</f>
        <v>0</v>
      </c>
      <c r="AA178" s="133">
        <f>+SUM('12:25'!AA178)</f>
        <v>0</v>
      </c>
      <c r="AB178" s="133">
        <f>+SUM('12:25'!AB178)</f>
        <v>0</v>
      </c>
      <c r="AC178" s="133">
        <f>+SUM('12:25'!AC178)</f>
        <v>0</v>
      </c>
      <c r="AD178" s="1">
        <f t="shared" si="19"/>
        <v>0</v>
      </c>
      <c r="AE178" s="52">
        <v>228.76</v>
      </c>
      <c r="AF178" s="1">
        <f t="shared" si="20"/>
        <v>0</v>
      </c>
    </row>
    <row r="179" spans="1:32" s="2" customFormat="1" ht="21.95" customHeight="1">
      <c r="A179" s="140">
        <v>300274</v>
      </c>
      <c r="B179" s="135">
        <v>18502</v>
      </c>
      <c r="C179" s="226" t="s">
        <v>162</v>
      </c>
      <c r="D179" s="226"/>
      <c r="E179" s="139" t="s">
        <v>146</v>
      </c>
      <c r="F179" s="27"/>
      <c r="G179" s="133">
        <f>+SUM('12:25'!G179)</f>
        <v>0</v>
      </c>
      <c r="H179" s="133">
        <f>+SUM('12:25'!H179)</f>
        <v>0</v>
      </c>
      <c r="I179" s="133">
        <f>+SUM('12:25'!I179)</f>
        <v>0</v>
      </c>
      <c r="J179" s="133">
        <f>+SUM('12:25'!J179)</f>
        <v>0</v>
      </c>
      <c r="K179" s="137">
        <f t="shared" si="21"/>
        <v>0</v>
      </c>
      <c r="L179" s="137">
        <f t="shared" si="22"/>
        <v>0</v>
      </c>
      <c r="M179" s="137">
        <v>523.9</v>
      </c>
      <c r="N179" s="137">
        <f>+M179*1000/(128*4*13*60)*T179</f>
        <v>5.247395833333333</v>
      </c>
      <c r="O179" s="133">
        <f>+SUM('12:25'!O179)</f>
        <v>0</v>
      </c>
      <c r="P179" s="137">
        <f t="shared" si="23"/>
        <v>0</v>
      </c>
      <c r="Q179" s="133">
        <f>+SUM('12:25'!Q179)</f>
        <v>0</v>
      </c>
      <c r="R179" s="19">
        <f t="shared" si="24"/>
        <v>0</v>
      </c>
      <c r="S179" s="137">
        <f t="shared" si="25"/>
        <v>0</v>
      </c>
      <c r="T179" s="20">
        <v>4</v>
      </c>
      <c r="U179" s="133">
        <f>+SUM('12:25'!U179)</f>
        <v>0</v>
      </c>
      <c r="V179" s="143" t="str">
        <f t="array" ref="V179">IF(ISERROR(L179/K179),"",L179/K179)</f>
        <v/>
      </c>
      <c r="W179" s="133">
        <f>+SUM('12:25'!W179)</f>
        <v>0</v>
      </c>
      <c r="X179" s="133">
        <f>+SUM('12:25'!X179)</f>
        <v>0</v>
      </c>
      <c r="Y179" s="133">
        <f>+SUM('12:25'!Y179)</f>
        <v>0</v>
      </c>
      <c r="Z179" s="133">
        <f>+SUM('12:25'!Z179)</f>
        <v>0</v>
      </c>
      <c r="AA179" s="133">
        <f>+SUM('12:25'!AA179)</f>
        <v>0</v>
      </c>
      <c r="AB179" s="133">
        <f>+SUM('12:25'!AB179)</f>
        <v>0</v>
      </c>
      <c r="AC179" s="133">
        <f>+SUM('12:25'!AC179)</f>
        <v>0</v>
      </c>
      <c r="AD179" s="1">
        <f t="shared" si="19"/>
        <v>0</v>
      </c>
      <c r="AE179" s="52">
        <v>190.64</v>
      </c>
      <c r="AF179" s="1">
        <f t="shared" si="20"/>
        <v>0</v>
      </c>
    </row>
    <row r="180" spans="1:32" s="2" customFormat="1" ht="21.95" customHeight="1">
      <c r="A180" s="140">
        <v>300275</v>
      </c>
      <c r="B180" s="135">
        <v>18502</v>
      </c>
      <c r="C180" s="226" t="s">
        <v>162</v>
      </c>
      <c r="D180" s="226"/>
      <c r="E180" s="139" t="s">
        <v>164</v>
      </c>
      <c r="F180" s="27"/>
      <c r="G180" s="133">
        <f>+SUM('12:25'!G180)</f>
        <v>0</v>
      </c>
      <c r="H180" s="133">
        <f>+SUM('12:25'!H180)</f>
        <v>0</v>
      </c>
      <c r="I180" s="133">
        <f>+SUM('12:25'!I180)</f>
        <v>0</v>
      </c>
      <c r="J180" s="133">
        <f>+SUM('12:25'!J180)</f>
        <v>0</v>
      </c>
      <c r="K180" s="137">
        <f t="shared" si="21"/>
        <v>0</v>
      </c>
      <c r="L180" s="137">
        <f t="shared" si="22"/>
        <v>0</v>
      </c>
      <c r="M180" s="137">
        <v>523.9</v>
      </c>
      <c r="N180" s="137">
        <f>+M180*1000/(128*4*13*60)*T180</f>
        <v>5.247395833333333</v>
      </c>
      <c r="O180" s="133">
        <f>+SUM('12:25'!O180)</f>
        <v>0</v>
      </c>
      <c r="P180" s="137">
        <f t="shared" si="23"/>
        <v>0</v>
      </c>
      <c r="Q180" s="133">
        <f>+SUM('12:25'!Q180)</f>
        <v>0</v>
      </c>
      <c r="R180" s="19">
        <f t="shared" si="24"/>
        <v>0</v>
      </c>
      <c r="S180" s="137">
        <f t="shared" si="25"/>
        <v>0</v>
      </c>
      <c r="T180" s="20">
        <v>4</v>
      </c>
      <c r="U180" s="133">
        <f>+SUM('12:25'!U180)</f>
        <v>0</v>
      </c>
      <c r="V180" s="143" t="str">
        <f t="array" ref="V180">IF(ISERROR(L180/K180),"",L180/K180)</f>
        <v/>
      </c>
      <c r="W180" s="133">
        <f>+SUM('12:25'!W180)</f>
        <v>0</v>
      </c>
      <c r="X180" s="133">
        <f>+SUM('12:25'!X180)</f>
        <v>0</v>
      </c>
      <c r="Y180" s="133">
        <f>+SUM('12:25'!Y180)</f>
        <v>0</v>
      </c>
      <c r="Z180" s="133">
        <f>+SUM('12:25'!Z180)</f>
        <v>0</v>
      </c>
      <c r="AA180" s="133">
        <f>+SUM('12:25'!AA180)</f>
        <v>0</v>
      </c>
      <c r="AB180" s="133">
        <f>+SUM('12:25'!AB180)</f>
        <v>0</v>
      </c>
      <c r="AC180" s="133">
        <f>+SUM('12:25'!AC180)</f>
        <v>0</v>
      </c>
      <c r="AD180" s="1">
        <f t="shared" si="19"/>
        <v>0</v>
      </c>
      <c r="AE180" s="52">
        <v>190.64</v>
      </c>
      <c r="AF180" s="1">
        <f t="shared" si="20"/>
        <v>0</v>
      </c>
    </row>
    <row r="181" spans="1:32" s="2" customFormat="1" ht="21.95" customHeight="1">
      <c r="A181" s="140">
        <v>300285</v>
      </c>
      <c r="B181" s="135">
        <v>13001</v>
      </c>
      <c r="C181" s="226" t="s">
        <v>165</v>
      </c>
      <c r="D181" s="226"/>
      <c r="E181" s="139" t="s">
        <v>37</v>
      </c>
      <c r="F181" s="27"/>
      <c r="G181" s="133">
        <f>+SUM('12:25'!G181)</f>
        <v>0</v>
      </c>
      <c r="H181" s="133">
        <f>+SUM('12:25'!H181)</f>
        <v>0</v>
      </c>
      <c r="I181" s="133">
        <f>+SUM('12:25'!I181)</f>
        <v>0</v>
      </c>
      <c r="J181" s="133">
        <f>+SUM('12:25'!J181)</f>
        <v>0</v>
      </c>
      <c r="K181" s="137">
        <f t="shared" si="21"/>
        <v>0</v>
      </c>
      <c r="L181" s="137">
        <f t="shared" si="22"/>
        <v>0</v>
      </c>
      <c r="M181" s="137">
        <v>438.7</v>
      </c>
      <c r="N181" s="137">
        <f t="shared" ref="N181:N186" si="28">+M181*1000/(90*4*18*60)*T181</f>
        <v>5.6417181069958842</v>
      </c>
      <c r="O181" s="133">
        <f>+SUM('12:25'!O181)</f>
        <v>0</v>
      </c>
      <c r="P181" s="137">
        <f t="shared" si="23"/>
        <v>0</v>
      </c>
      <c r="Q181" s="133">
        <f>+SUM('12:25'!Q181)</f>
        <v>0</v>
      </c>
      <c r="R181" s="19">
        <f t="shared" si="24"/>
        <v>0</v>
      </c>
      <c r="S181" s="137">
        <f t="shared" si="25"/>
        <v>0</v>
      </c>
      <c r="T181" s="20">
        <v>5</v>
      </c>
      <c r="U181" s="133">
        <f>+SUM('12:25'!U181)</f>
        <v>0</v>
      </c>
      <c r="V181" s="143" t="str">
        <f t="array" ref="V181">IF(ISERROR(L181/K181),"",L181/K181)</f>
        <v/>
      </c>
      <c r="W181" s="133">
        <f>+SUM('12:25'!W181)</f>
        <v>0</v>
      </c>
      <c r="X181" s="133">
        <f>+SUM('12:25'!X181)</f>
        <v>0</v>
      </c>
      <c r="Y181" s="133">
        <f>+SUM('12:25'!Y181)</f>
        <v>0</v>
      </c>
      <c r="Z181" s="133">
        <f>+SUM('12:25'!Z181)</f>
        <v>0</v>
      </c>
      <c r="AA181" s="133">
        <f>+SUM('12:25'!AA181)</f>
        <v>0</v>
      </c>
      <c r="AB181" s="133">
        <f>+SUM('12:25'!AB181)</f>
        <v>0</v>
      </c>
      <c r="AC181" s="133">
        <f>+SUM('12:25'!AC181)</f>
        <v>0</v>
      </c>
      <c r="AD181" s="1">
        <f t="shared" si="19"/>
        <v>0</v>
      </c>
      <c r="AE181" s="52"/>
      <c r="AF181" s="1">
        <f t="shared" si="20"/>
        <v>0</v>
      </c>
    </row>
    <row r="182" spans="1:32" s="2" customFormat="1" ht="21.95" customHeight="1">
      <c r="A182" s="140">
        <v>300287</v>
      </c>
      <c r="B182" s="135">
        <v>13001</v>
      </c>
      <c r="C182" s="226" t="s">
        <v>165</v>
      </c>
      <c r="D182" s="226"/>
      <c r="E182" s="139" t="s">
        <v>57</v>
      </c>
      <c r="F182" s="27"/>
      <c r="G182" s="133">
        <f>+SUM('12:25'!G182)</f>
        <v>0</v>
      </c>
      <c r="H182" s="133">
        <f>+SUM('12:25'!H182)</f>
        <v>0</v>
      </c>
      <c r="I182" s="133">
        <f>+SUM('12:25'!I182)</f>
        <v>0</v>
      </c>
      <c r="J182" s="133">
        <f>+SUM('12:25'!J182)</f>
        <v>0</v>
      </c>
      <c r="K182" s="137">
        <f t="shared" si="21"/>
        <v>0</v>
      </c>
      <c r="L182" s="137">
        <f t="shared" si="22"/>
        <v>0</v>
      </c>
      <c r="M182" s="137">
        <v>438.7</v>
      </c>
      <c r="N182" s="137">
        <f t="shared" si="28"/>
        <v>5.6417181069958842</v>
      </c>
      <c r="O182" s="133">
        <f>+SUM('12:25'!O182)</f>
        <v>0</v>
      </c>
      <c r="P182" s="137">
        <f t="shared" si="23"/>
        <v>0</v>
      </c>
      <c r="Q182" s="133">
        <f>+SUM('12:25'!Q182)</f>
        <v>0</v>
      </c>
      <c r="R182" s="19">
        <f t="shared" si="24"/>
        <v>0</v>
      </c>
      <c r="S182" s="137">
        <f t="shared" si="25"/>
        <v>0</v>
      </c>
      <c r="T182" s="20">
        <v>5</v>
      </c>
      <c r="U182" s="133">
        <f>+SUM('12:25'!U182)</f>
        <v>0</v>
      </c>
      <c r="V182" s="143" t="str">
        <f t="array" ref="V182">IF(ISERROR(L182/K182),"",L182/K182)</f>
        <v/>
      </c>
      <c r="W182" s="133">
        <f>+SUM('12:25'!W182)</f>
        <v>0</v>
      </c>
      <c r="X182" s="133">
        <f>+SUM('12:25'!X182)</f>
        <v>0</v>
      </c>
      <c r="Y182" s="133">
        <f>+SUM('12:25'!Y182)</f>
        <v>0</v>
      </c>
      <c r="Z182" s="133">
        <f>+SUM('12:25'!Z182)</f>
        <v>0</v>
      </c>
      <c r="AA182" s="133">
        <f>+SUM('12:25'!AA182)</f>
        <v>0</v>
      </c>
      <c r="AB182" s="133">
        <f>+SUM('12:25'!AB182)</f>
        <v>0</v>
      </c>
      <c r="AC182" s="133">
        <f>+SUM('12:25'!AC182)</f>
        <v>0</v>
      </c>
      <c r="AD182" s="1">
        <f t="shared" si="19"/>
        <v>0</v>
      </c>
      <c r="AE182" s="52"/>
      <c r="AF182" s="1">
        <f t="shared" si="20"/>
        <v>0</v>
      </c>
    </row>
    <row r="183" spans="1:32" s="2" customFormat="1" ht="21.95" customHeight="1">
      <c r="A183" s="140">
        <v>300284</v>
      </c>
      <c r="B183" s="135">
        <v>13001</v>
      </c>
      <c r="C183" s="226" t="s">
        <v>165</v>
      </c>
      <c r="D183" s="226"/>
      <c r="E183" s="139" t="s">
        <v>41</v>
      </c>
      <c r="F183" s="27"/>
      <c r="G183" s="133">
        <f>+SUM('12:25'!G183)</f>
        <v>0</v>
      </c>
      <c r="H183" s="133">
        <f>+SUM('12:25'!H183)</f>
        <v>0</v>
      </c>
      <c r="I183" s="133">
        <f>+SUM('12:25'!I183)</f>
        <v>0</v>
      </c>
      <c r="J183" s="133">
        <f>+SUM('12:25'!J183)</f>
        <v>0</v>
      </c>
      <c r="K183" s="137">
        <f t="shared" si="21"/>
        <v>0</v>
      </c>
      <c r="L183" s="137">
        <f t="shared" si="22"/>
        <v>0</v>
      </c>
      <c r="M183" s="137">
        <v>438.7</v>
      </c>
      <c r="N183" s="137">
        <f t="shared" si="28"/>
        <v>5.6417181069958842</v>
      </c>
      <c r="O183" s="133">
        <f>+SUM('12:25'!O183)</f>
        <v>0</v>
      </c>
      <c r="P183" s="137">
        <f t="shared" si="23"/>
        <v>0</v>
      </c>
      <c r="Q183" s="133">
        <f>+SUM('12:25'!Q183)</f>
        <v>0</v>
      </c>
      <c r="R183" s="19">
        <f t="shared" si="24"/>
        <v>0</v>
      </c>
      <c r="S183" s="137">
        <f t="shared" si="25"/>
        <v>0</v>
      </c>
      <c r="T183" s="20">
        <v>5</v>
      </c>
      <c r="U183" s="133">
        <f>+SUM('12:25'!U183)</f>
        <v>0</v>
      </c>
      <c r="V183" s="143" t="str">
        <f t="array" ref="V183">IF(ISERROR(L183/K183),"",L183/K183)</f>
        <v/>
      </c>
      <c r="W183" s="133">
        <f>+SUM('12:25'!W183)</f>
        <v>0</v>
      </c>
      <c r="X183" s="133">
        <f>+SUM('12:25'!X183)</f>
        <v>0</v>
      </c>
      <c r="Y183" s="133">
        <f>+SUM('12:25'!Y183)</f>
        <v>0</v>
      </c>
      <c r="Z183" s="133">
        <f>+SUM('12:25'!Z183)</f>
        <v>0</v>
      </c>
      <c r="AA183" s="133">
        <f>+SUM('12:25'!AA183)</f>
        <v>0</v>
      </c>
      <c r="AB183" s="133">
        <f>+SUM('12:25'!AB183)</f>
        <v>0</v>
      </c>
      <c r="AC183" s="133">
        <f>+SUM('12:25'!AC183)</f>
        <v>0</v>
      </c>
      <c r="AD183" s="1">
        <f t="shared" si="19"/>
        <v>0</v>
      </c>
      <c r="AE183" s="52"/>
      <c r="AF183" s="1">
        <f t="shared" si="20"/>
        <v>0</v>
      </c>
    </row>
    <row r="184" spans="1:32" s="2" customFormat="1" ht="21.95" customHeight="1">
      <c r="A184" s="140">
        <v>300283</v>
      </c>
      <c r="B184" s="135">
        <v>13001</v>
      </c>
      <c r="C184" s="226" t="s">
        <v>165</v>
      </c>
      <c r="D184" s="226"/>
      <c r="E184" s="139" t="s">
        <v>35</v>
      </c>
      <c r="F184" s="27"/>
      <c r="G184" s="133">
        <f>+SUM('12:25'!G184)</f>
        <v>0</v>
      </c>
      <c r="H184" s="133">
        <f>+SUM('12:25'!H184)</f>
        <v>0</v>
      </c>
      <c r="I184" s="133">
        <f>+SUM('12:25'!I184)</f>
        <v>0</v>
      </c>
      <c r="J184" s="133">
        <f>+SUM('12:25'!J184)</f>
        <v>0</v>
      </c>
      <c r="K184" s="149">
        <f t="shared" si="21"/>
        <v>0</v>
      </c>
      <c r="L184" s="149">
        <f t="shared" si="22"/>
        <v>0</v>
      </c>
      <c r="M184" s="137">
        <v>438.7</v>
      </c>
      <c r="N184" s="137">
        <f t="shared" si="28"/>
        <v>5.6417181069958842</v>
      </c>
      <c r="O184" s="133">
        <f>+SUM('12:25'!O184)</f>
        <v>0</v>
      </c>
      <c r="P184" s="137">
        <f t="shared" si="23"/>
        <v>0</v>
      </c>
      <c r="Q184" s="133">
        <f>+SUM('12:25'!Q184)</f>
        <v>0</v>
      </c>
      <c r="R184" s="19">
        <f t="shared" si="24"/>
        <v>0</v>
      </c>
      <c r="S184" s="137">
        <f t="shared" si="25"/>
        <v>0</v>
      </c>
      <c r="T184" s="20">
        <v>5</v>
      </c>
      <c r="U184" s="133">
        <f>+SUM('12:25'!U184)</f>
        <v>0</v>
      </c>
      <c r="V184" s="143" t="str">
        <f t="array" ref="V184">IF(ISERROR(L184/K184),"",L184/K184)</f>
        <v/>
      </c>
      <c r="W184" s="133">
        <f>+SUM('12:25'!W184)</f>
        <v>0</v>
      </c>
      <c r="X184" s="133">
        <f>+SUM('12:25'!X184)</f>
        <v>0</v>
      </c>
      <c r="Y184" s="133">
        <f>+SUM('12:25'!Y184)</f>
        <v>0</v>
      </c>
      <c r="Z184" s="133">
        <f>+SUM('12:25'!Z184)</f>
        <v>0</v>
      </c>
      <c r="AA184" s="133">
        <f>+SUM('12:25'!AA184)</f>
        <v>0</v>
      </c>
      <c r="AB184" s="133">
        <f>+SUM('12:25'!AB184)</f>
        <v>0</v>
      </c>
      <c r="AC184" s="133">
        <f>+SUM('12:25'!AC184)</f>
        <v>0</v>
      </c>
      <c r="AD184" s="1">
        <f t="shared" si="19"/>
        <v>0</v>
      </c>
      <c r="AE184" s="52"/>
      <c r="AF184" s="1">
        <f t="shared" si="20"/>
        <v>0</v>
      </c>
    </row>
    <row r="185" spans="1:32" s="2" customFormat="1" ht="21.95" customHeight="1">
      <c r="A185" s="140">
        <v>300289</v>
      </c>
      <c r="B185" s="135">
        <v>13001</v>
      </c>
      <c r="C185" s="226" t="s">
        <v>165</v>
      </c>
      <c r="D185" s="226"/>
      <c r="E185" s="139" t="s">
        <v>66</v>
      </c>
      <c r="F185" s="27"/>
      <c r="G185" s="133">
        <f>+SUM('12:25'!G185)</f>
        <v>0</v>
      </c>
      <c r="H185" s="133">
        <f>+SUM('12:25'!H185)</f>
        <v>0</v>
      </c>
      <c r="I185" s="133">
        <f>+SUM('12:25'!I185)</f>
        <v>0</v>
      </c>
      <c r="J185" s="133">
        <f>+SUM('12:25'!J185)</f>
        <v>0</v>
      </c>
      <c r="K185" s="149">
        <f t="shared" si="21"/>
        <v>0</v>
      </c>
      <c r="L185" s="149">
        <f t="shared" si="22"/>
        <v>0</v>
      </c>
      <c r="M185" s="137">
        <v>438.7</v>
      </c>
      <c r="N185" s="137">
        <f t="shared" si="28"/>
        <v>5.6417181069958842</v>
      </c>
      <c r="O185" s="133">
        <f>+SUM('12:25'!O185)</f>
        <v>0</v>
      </c>
      <c r="P185" s="137">
        <f t="shared" si="23"/>
        <v>0</v>
      </c>
      <c r="Q185" s="133">
        <f>+SUM('12:25'!Q185)</f>
        <v>0</v>
      </c>
      <c r="R185" s="19">
        <f t="shared" si="24"/>
        <v>0</v>
      </c>
      <c r="S185" s="137">
        <f t="shared" si="25"/>
        <v>0</v>
      </c>
      <c r="T185" s="20">
        <v>5</v>
      </c>
      <c r="U185" s="133">
        <f>+SUM('12:25'!U185)</f>
        <v>0</v>
      </c>
      <c r="V185" s="143" t="str">
        <f t="array" ref="V185">IF(ISERROR(L185/K185),"",L185/K185)</f>
        <v/>
      </c>
      <c r="W185" s="133">
        <f>+SUM('12:25'!W185)</f>
        <v>0</v>
      </c>
      <c r="X185" s="133">
        <f>+SUM('12:25'!X185)</f>
        <v>0</v>
      </c>
      <c r="Y185" s="133">
        <f>+SUM('12:25'!Y185)</f>
        <v>0</v>
      </c>
      <c r="Z185" s="133">
        <f>+SUM('12:25'!Z185)</f>
        <v>0</v>
      </c>
      <c r="AA185" s="133">
        <f>+SUM('12:25'!AA185)</f>
        <v>0</v>
      </c>
      <c r="AB185" s="133">
        <f>+SUM('12:25'!AB185)</f>
        <v>0</v>
      </c>
      <c r="AC185" s="133">
        <f>+SUM('12:25'!AC185)</f>
        <v>0</v>
      </c>
      <c r="AD185" s="1">
        <f t="shared" si="19"/>
        <v>0</v>
      </c>
      <c r="AE185" s="52"/>
      <c r="AF185" s="1">
        <f t="shared" si="20"/>
        <v>0</v>
      </c>
    </row>
    <row r="186" spans="1:32" s="2" customFormat="1" ht="21.95" customHeight="1">
      <c r="A186" s="140">
        <v>300288</v>
      </c>
      <c r="B186" s="135">
        <v>13001</v>
      </c>
      <c r="C186" s="226" t="s">
        <v>165</v>
      </c>
      <c r="D186" s="226"/>
      <c r="E186" s="139" t="s">
        <v>166</v>
      </c>
      <c r="F186" s="27"/>
      <c r="G186" s="133">
        <f>+SUM('12:25'!G186)</f>
        <v>0</v>
      </c>
      <c r="H186" s="133">
        <f>+SUM('12:25'!H186)</f>
        <v>0</v>
      </c>
      <c r="I186" s="133">
        <f>+SUM('12:25'!I186)</f>
        <v>0</v>
      </c>
      <c r="J186" s="133">
        <f>+SUM('12:25'!J186)</f>
        <v>0</v>
      </c>
      <c r="K186" s="137">
        <f t="shared" si="21"/>
        <v>0</v>
      </c>
      <c r="L186" s="137">
        <f t="shared" si="22"/>
        <v>0</v>
      </c>
      <c r="M186" s="137">
        <v>438.7</v>
      </c>
      <c r="N186" s="137">
        <f t="shared" si="28"/>
        <v>5.6417181069958842</v>
      </c>
      <c r="O186" s="133">
        <f>+SUM('12:25'!O186)</f>
        <v>0</v>
      </c>
      <c r="P186" s="137">
        <f t="shared" si="23"/>
        <v>0</v>
      </c>
      <c r="Q186" s="133">
        <f>+SUM('12:25'!Q186)</f>
        <v>0</v>
      </c>
      <c r="R186" s="19">
        <f t="shared" si="24"/>
        <v>0</v>
      </c>
      <c r="S186" s="137">
        <f t="shared" si="25"/>
        <v>0</v>
      </c>
      <c r="T186" s="20">
        <v>5</v>
      </c>
      <c r="U186" s="133">
        <f>+SUM('12:25'!U186)</f>
        <v>0</v>
      </c>
      <c r="V186" s="143" t="str">
        <f t="array" ref="V186">IF(ISERROR(L186/K186),"",L186/K186)</f>
        <v/>
      </c>
      <c r="W186" s="133">
        <f>+SUM('12:25'!W186)</f>
        <v>0</v>
      </c>
      <c r="X186" s="133">
        <f>+SUM('12:25'!X186)</f>
        <v>0</v>
      </c>
      <c r="Y186" s="133">
        <f>+SUM('12:25'!Y186)</f>
        <v>0</v>
      </c>
      <c r="Z186" s="133">
        <f>+SUM('12:25'!Z186)</f>
        <v>0</v>
      </c>
      <c r="AA186" s="133">
        <f>+SUM('12:25'!AA186)</f>
        <v>0</v>
      </c>
      <c r="AB186" s="133">
        <f>+SUM('12:25'!AB186)</f>
        <v>0</v>
      </c>
      <c r="AC186" s="133">
        <f>+SUM('12:25'!AC186)</f>
        <v>0</v>
      </c>
      <c r="AD186" s="1">
        <f t="shared" si="19"/>
        <v>0</v>
      </c>
      <c r="AE186" s="52"/>
      <c r="AF186" s="1">
        <f t="shared" si="20"/>
        <v>0</v>
      </c>
    </row>
    <row r="187" spans="1:32" s="2" customFormat="1" ht="21.95" customHeight="1">
      <c r="A187" s="144">
        <v>300355</v>
      </c>
      <c r="B187" s="135" t="s">
        <v>167</v>
      </c>
      <c r="C187" s="237" t="s">
        <v>168</v>
      </c>
      <c r="D187" s="238"/>
      <c r="E187" s="33" t="s">
        <v>35</v>
      </c>
      <c r="F187" s="27"/>
      <c r="G187" s="133">
        <f>+SUM('12:25'!G187)</f>
        <v>0</v>
      </c>
      <c r="H187" s="133">
        <f>+SUM('12:25'!H187)</f>
        <v>0</v>
      </c>
      <c r="I187" s="133">
        <f>+SUM('12:25'!I187)</f>
        <v>0</v>
      </c>
      <c r="J187" s="133">
        <f>+SUM('12:25'!J187)</f>
        <v>0</v>
      </c>
      <c r="K187" s="149">
        <f t="shared" si="21"/>
        <v>0</v>
      </c>
      <c r="L187" s="137">
        <f t="shared" si="22"/>
        <v>0</v>
      </c>
      <c r="M187" s="137">
        <v>438</v>
      </c>
      <c r="N187" s="15">
        <f>+M187*1000/(110*4*18*60)*T187</f>
        <v>4.6085858585858581</v>
      </c>
      <c r="O187" s="133">
        <f>+SUM('12:25'!O187)</f>
        <v>0</v>
      </c>
      <c r="P187" s="137">
        <f t="shared" si="23"/>
        <v>0</v>
      </c>
      <c r="Q187" s="133">
        <f>+SUM('12:25'!Q187)</f>
        <v>0</v>
      </c>
      <c r="R187" s="19">
        <f t="shared" si="24"/>
        <v>0</v>
      </c>
      <c r="S187" s="137">
        <f t="shared" si="25"/>
        <v>0</v>
      </c>
      <c r="T187" s="20">
        <v>5</v>
      </c>
      <c r="U187" s="133">
        <f>+SUM('12:25'!U187)</f>
        <v>0</v>
      </c>
      <c r="V187" s="143" t="str">
        <f t="array" ref="V187">IF(ISERROR(L187/K187),"",L187/K187)</f>
        <v/>
      </c>
      <c r="W187" s="133">
        <f>+SUM('12:25'!W187)</f>
        <v>0</v>
      </c>
      <c r="X187" s="133">
        <f>+SUM('12:25'!X187)</f>
        <v>0</v>
      </c>
      <c r="Y187" s="133">
        <f>+SUM('12:25'!Y187)</f>
        <v>0</v>
      </c>
      <c r="Z187" s="133">
        <f>+SUM('12:25'!Z187)</f>
        <v>0</v>
      </c>
      <c r="AA187" s="133">
        <f>+SUM('12:25'!AA187)</f>
        <v>0</v>
      </c>
      <c r="AB187" s="133">
        <f>+SUM('12:25'!AB187)</f>
        <v>0</v>
      </c>
      <c r="AC187" s="133">
        <f>+SUM('12:25'!AC187)</f>
        <v>0</v>
      </c>
      <c r="AD187" s="1">
        <f t="shared" si="19"/>
        <v>0</v>
      </c>
      <c r="AE187" s="52">
        <v>244.02</v>
      </c>
      <c r="AF187" s="1">
        <f t="shared" si="20"/>
        <v>0</v>
      </c>
    </row>
    <row r="188" spans="1:32" s="2" customFormat="1" ht="21.95" customHeight="1">
      <c r="A188" s="144">
        <v>300356</v>
      </c>
      <c r="B188" s="135" t="s">
        <v>169</v>
      </c>
      <c r="C188" s="237" t="s">
        <v>168</v>
      </c>
      <c r="D188" s="238"/>
      <c r="E188" s="136" t="s">
        <v>41</v>
      </c>
      <c r="F188" s="27"/>
      <c r="G188" s="133">
        <f>+SUM('12:25'!G188)</f>
        <v>0</v>
      </c>
      <c r="H188" s="133">
        <f>+SUM('12:25'!H188)</f>
        <v>0</v>
      </c>
      <c r="I188" s="133">
        <f>+SUM('12:25'!I188)</f>
        <v>0</v>
      </c>
      <c r="J188" s="133">
        <f>+SUM('12:25'!J188)</f>
        <v>0</v>
      </c>
      <c r="K188" s="149">
        <f t="shared" si="21"/>
        <v>0</v>
      </c>
      <c r="L188" s="137">
        <f t="shared" si="22"/>
        <v>0</v>
      </c>
      <c r="M188" s="137">
        <v>438</v>
      </c>
      <c r="N188" s="15">
        <f>+M188*1000/(110*4*18*60)*T188</f>
        <v>4.6085858585858581</v>
      </c>
      <c r="O188" s="133">
        <f>+SUM('12:25'!O188)</f>
        <v>0</v>
      </c>
      <c r="P188" s="137">
        <f t="shared" si="23"/>
        <v>0</v>
      </c>
      <c r="Q188" s="133">
        <f>+SUM('12:25'!Q188)</f>
        <v>0</v>
      </c>
      <c r="R188" s="19">
        <f t="shared" si="24"/>
        <v>0</v>
      </c>
      <c r="S188" s="137">
        <f t="shared" si="25"/>
        <v>0</v>
      </c>
      <c r="T188" s="20">
        <v>5</v>
      </c>
      <c r="U188" s="133">
        <f>+SUM('12:25'!U188)</f>
        <v>0</v>
      </c>
      <c r="V188" s="143" t="str">
        <f t="array" ref="V188">IF(ISERROR(L188/K188),"",L188/K188)</f>
        <v/>
      </c>
      <c r="W188" s="133">
        <f>+SUM('12:25'!W188)</f>
        <v>0</v>
      </c>
      <c r="X188" s="133">
        <f>+SUM('12:25'!X188)</f>
        <v>0</v>
      </c>
      <c r="Y188" s="133">
        <f>+SUM('12:25'!Y188)</f>
        <v>0</v>
      </c>
      <c r="Z188" s="133">
        <f>+SUM('12:25'!Z188)</f>
        <v>0</v>
      </c>
      <c r="AA188" s="133">
        <f>+SUM('12:25'!AA188)</f>
        <v>0</v>
      </c>
      <c r="AB188" s="133">
        <f>+SUM('12:25'!AB188)</f>
        <v>0</v>
      </c>
      <c r="AC188" s="133">
        <f>+SUM('12:25'!AC188)</f>
        <v>0</v>
      </c>
      <c r="AD188" s="1">
        <f t="shared" si="19"/>
        <v>0</v>
      </c>
      <c r="AE188" s="52">
        <v>244.02</v>
      </c>
      <c r="AF188" s="1">
        <f t="shared" si="20"/>
        <v>0</v>
      </c>
    </row>
    <row r="189" spans="1:32" s="2" customFormat="1" ht="21.95" customHeight="1">
      <c r="A189" s="144">
        <v>300357</v>
      </c>
      <c r="B189" s="135" t="s">
        <v>170</v>
      </c>
      <c r="C189" s="237" t="s">
        <v>168</v>
      </c>
      <c r="D189" s="238"/>
      <c r="E189" s="136" t="s">
        <v>37</v>
      </c>
      <c r="F189" s="27"/>
      <c r="G189" s="133">
        <f>+SUM('12:25'!G189)</f>
        <v>0</v>
      </c>
      <c r="H189" s="133">
        <f>+SUM('12:25'!H189)</f>
        <v>0</v>
      </c>
      <c r="I189" s="133">
        <f>+SUM('12:25'!I189)</f>
        <v>0</v>
      </c>
      <c r="J189" s="133">
        <f>+SUM('12:25'!J189)</f>
        <v>0</v>
      </c>
      <c r="K189" s="149">
        <f t="shared" si="21"/>
        <v>0</v>
      </c>
      <c r="L189" s="137">
        <f t="shared" si="22"/>
        <v>0</v>
      </c>
      <c r="M189" s="137">
        <v>438</v>
      </c>
      <c r="N189" s="15">
        <f>+M189*1000/(110*4*18*60)*T189</f>
        <v>4.6085858585858581</v>
      </c>
      <c r="O189" s="133">
        <f>+SUM('12:25'!O189)</f>
        <v>0</v>
      </c>
      <c r="P189" s="137">
        <f t="shared" si="23"/>
        <v>0</v>
      </c>
      <c r="Q189" s="133">
        <f>+SUM('12:25'!Q189)</f>
        <v>0</v>
      </c>
      <c r="R189" s="19">
        <f t="shared" si="24"/>
        <v>0</v>
      </c>
      <c r="S189" s="137">
        <f t="shared" si="25"/>
        <v>0</v>
      </c>
      <c r="T189" s="20">
        <v>5</v>
      </c>
      <c r="U189" s="133">
        <f>+SUM('12:25'!U189)</f>
        <v>0</v>
      </c>
      <c r="V189" s="143" t="str">
        <f t="array" ref="V189">IF(ISERROR(L189/K189),"",L189/K189)</f>
        <v/>
      </c>
      <c r="W189" s="133">
        <f>+SUM('12:25'!W189)</f>
        <v>0</v>
      </c>
      <c r="X189" s="133">
        <f>+SUM('12:25'!X189)</f>
        <v>0</v>
      </c>
      <c r="Y189" s="133">
        <f>+SUM('12:25'!Y189)</f>
        <v>0</v>
      </c>
      <c r="Z189" s="133">
        <f>+SUM('12:25'!Z189)</f>
        <v>0</v>
      </c>
      <c r="AA189" s="133">
        <f>+SUM('12:25'!AA189)</f>
        <v>0</v>
      </c>
      <c r="AB189" s="133">
        <f>+SUM('12:25'!AB189)</f>
        <v>0</v>
      </c>
      <c r="AC189" s="133">
        <f>+SUM('12:25'!AC189)</f>
        <v>0</v>
      </c>
      <c r="AD189" s="1">
        <f t="shared" si="19"/>
        <v>0</v>
      </c>
      <c r="AE189" s="52">
        <v>244.02</v>
      </c>
      <c r="AF189" s="1">
        <f t="shared" si="20"/>
        <v>0</v>
      </c>
    </row>
    <row r="190" spans="1:32" s="2" customFormat="1" ht="21.95" customHeight="1">
      <c r="A190" s="144">
        <v>300358</v>
      </c>
      <c r="B190" s="135" t="s">
        <v>171</v>
      </c>
      <c r="C190" s="237" t="s">
        <v>168</v>
      </c>
      <c r="D190" s="238"/>
      <c r="E190" s="136" t="s">
        <v>66</v>
      </c>
      <c r="F190" s="27"/>
      <c r="G190" s="133">
        <f>+SUM('12:25'!G190)</f>
        <v>0</v>
      </c>
      <c r="H190" s="133">
        <f>+SUM('12:25'!H190)</f>
        <v>0</v>
      </c>
      <c r="I190" s="133">
        <f>+SUM('12:25'!I190)</f>
        <v>0</v>
      </c>
      <c r="J190" s="133">
        <f>+SUM('12:25'!J190)</f>
        <v>0</v>
      </c>
      <c r="K190" s="149">
        <f t="shared" si="21"/>
        <v>0</v>
      </c>
      <c r="L190" s="137">
        <f t="shared" si="22"/>
        <v>0</v>
      </c>
      <c r="M190" s="137">
        <v>438</v>
      </c>
      <c r="N190" s="15">
        <f>+M190*1000/(110*4*18*60)*T190</f>
        <v>4.6085858585858581</v>
      </c>
      <c r="O190" s="133">
        <f>+SUM('12:25'!O190)</f>
        <v>0</v>
      </c>
      <c r="P190" s="137">
        <f t="shared" si="23"/>
        <v>0</v>
      </c>
      <c r="Q190" s="133">
        <f>+SUM('12:25'!Q190)</f>
        <v>0</v>
      </c>
      <c r="R190" s="19">
        <f t="shared" si="24"/>
        <v>0</v>
      </c>
      <c r="S190" s="137">
        <f t="shared" si="25"/>
        <v>0</v>
      </c>
      <c r="T190" s="20">
        <v>5</v>
      </c>
      <c r="U190" s="133">
        <f>+SUM('12:25'!U190)</f>
        <v>0</v>
      </c>
      <c r="V190" s="143" t="str">
        <f t="array" ref="V190">IF(ISERROR(L190/K190),"",L190/K190)</f>
        <v/>
      </c>
      <c r="W190" s="133">
        <f>+SUM('12:25'!W190)</f>
        <v>0</v>
      </c>
      <c r="X190" s="133">
        <f>+SUM('12:25'!X190)</f>
        <v>0</v>
      </c>
      <c r="Y190" s="133">
        <f>+SUM('12:25'!Y190)</f>
        <v>0</v>
      </c>
      <c r="Z190" s="133">
        <f>+SUM('12:25'!Z190)</f>
        <v>0</v>
      </c>
      <c r="AA190" s="133">
        <f>+SUM('12:25'!AA190)</f>
        <v>0</v>
      </c>
      <c r="AB190" s="133">
        <f>+SUM('12:25'!AB190)</f>
        <v>0</v>
      </c>
      <c r="AC190" s="133">
        <f>+SUM('12:25'!AC190)</f>
        <v>0</v>
      </c>
      <c r="AD190" s="1">
        <f t="shared" si="19"/>
        <v>0</v>
      </c>
      <c r="AE190" s="52">
        <v>244.02</v>
      </c>
      <c r="AF190" s="1">
        <f t="shared" si="20"/>
        <v>0</v>
      </c>
    </row>
    <row r="191" spans="1:32" ht="21.95" customHeight="1">
      <c r="A191" s="140">
        <v>300438</v>
      </c>
      <c r="B191" s="135" t="s">
        <v>87</v>
      </c>
      <c r="C191" s="226" t="s">
        <v>312</v>
      </c>
      <c r="D191" s="226" t="s">
        <v>89</v>
      </c>
      <c r="E191" s="139" t="s">
        <v>35</v>
      </c>
      <c r="F191" s="13"/>
      <c r="G191" s="133">
        <f>+SUM('12:25'!G191)</f>
        <v>0</v>
      </c>
      <c r="H191" s="133">
        <f>+SUM('12:25'!H191)</f>
        <v>0</v>
      </c>
      <c r="I191" s="133">
        <f>+SUM('12:25'!I191)</f>
        <v>0</v>
      </c>
      <c r="J191" s="133">
        <f>+SUM('12:25'!J191)</f>
        <v>0</v>
      </c>
      <c r="K191" s="137">
        <f>G191*M191</f>
        <v>0</v>
      </c>
      <c r="L191" s="137">
        <f>I191*M191</f>
        <v>0</v>
      </c>
      <c r="M191" s="137">
        <v>336.6</v>
      </c>
      <c r="N191" s="137">
        <f>+M191*1000/(45*10*18*60)*T191</f>
        <v>1.3851851851851851</v>
      </c>
      <c r="O191" s="133">
        <f>+SUM('12:25'!O191)</f>
        <v>0</v>
      </c>
      <c r="P191" s="137">
        <f>N191*I191+O191*U191</f>
        <v>0</v>
      </c>
      <c r="Q191" s="133">
        <f>+SUM('12:25'!Q191)</f>
        <v>0</v>
      </c>
      <c r="R191" s="19">
        <f>Q191*U191</f>
        <v>0</v>
      </c>
      <c r="S191" s="137">
        <f>R191-P191</f>
        <v>0</v>
      </c>
      <c r="T191" s="20">
        <v>2</v>
      </c>
      <c r="U191" s="133">
        <f>+SUM('12:25'!U191)</f>
        <v>0</v>
      </c>
      <c r="V191" s="143"/>
      <c r="W191" s="133">
        <f>+SUM('12:25'!W191)</f>
        <v>0</v>
      </c>
      <c r="X191" s="133">
        <f>+SUM('12:25'!X191)</f>
        <v>0</v>
      </c>
      <c r="Y191" s="133">
        <f>+SUM('12:25'!Y191)</f>
        <v>0</v>
      </c>
      <c r="Z191" s="133">
        <f>+SUM('12:25'!Z191)</f>
        <v>0</v>
      </c>
      <c r="AA191" s="133">
        <f>+SUM('12:25'!AA191)</f>
        <v>0</v>
      </c>
      <c r="AB191" s="133">
        <f>+SUM('12:25'!AB191)</f>
        <v>0</v>
      </c>
      <c r="AC191" s="133">
        <f>+SUM('12:25'!AC191)</f>
        <v>0</v>
      </c>
      <c r="AD191" s="1">
        <f t="shared" si="19"/>
        <v>0</v>
      </c>
      <c r="AE191" s="1">
        <v>189.93</v>
      </c>
      <c r="AF191" s="1">
        <f t="shared" si="20"/>
        <v>0</v>
      </c>
    </row>
    <row r="192" spans="1:32" ht="21.95" customHeight="1">
      <c r="A192" s="140">
        <v>300439</v>
      </c>
      <c r="B192" s="135" t="s">
        <v>87</v>
      </c>
      <c r="C192" s="226" t="s">
        <v>312</v>
      </c>
      <c r="D192" s="226" t="s">
        <v>89</v>
      </c>
      <c r="E192" s="139" t="s">
        <v>66</v>
      </c>
      <c r="F192" s="13"/>
      <c r="G192" s="133">
        <f>+SUM('12:25'!G192)</f>
        <v>0</v>
      </c>
      <c r="H192" s="133">
        <f>+SUM('12:25'!H192)</f>
        <v>0</v>
      </c>
      <c r="I192" s="133">
        <f>+SUM('12:25'!I192)</f>
        <v>0</v>
      </c>
      <c r="J192" s="133">
        <f>+SUM('12:25'!J192)</f>
        <v>0</v>
      </c>
      <c r="K192" s="137">
        <f>G192*M192</f>
        <v>0</v>
      </c>
      <c r="L192" s="137">
        <f>I192*M192</f>
        <v>0</v>
      </c>
      <c r="M192" s="137">
        <v>336.6</v>
      </c>
      <c r="N192" s="137">
        <f>+M192*1000/(45*10*18*60)*T192</f>
        <v>1.3851851851851851</v>
      </c>
      <c r="O192" s="133">
        <f>+SUM('12:25'!O192)</f>
        <v>0</v>
      </c>
      <c r="P192" s="137">
        <f>N192*I192+O192*U192</f>
        <v>0</v>
      </c>
      <c r="Q192" s="133">
        <f>+SUM('12:25'!Q192)</f>
        <v>0</v>
      </c>
      <c r="R192" s="19">
        <f>Q192*U192</f>
        <v>0</v>
      </c>
      <c r="S192" s="137">
        <f>R192-P192</f>
        <v>0</v>
      </c>
      <c r="T192" s="20">
        <v>2</v>
      </c>
      <c r="U192" s="133">
        <f>+SUM('12:25'!U192)</f>
        <v>0</v>
      </c>
      <c r="V192" s="143"/>
      <c r="W192" s="133">
        <f>+SUM('12:25'!W192)</f>
        <v>0</v>
      </c>
      <c r="X192" s="133">
        <f>+SUM('12:25'!X192)</f>
        <v>0</v>
      </c>
      <c r="Y192" s="133">
        <f>+SUM('12:25'!Y192)</f>
        <v>0</v>
      </c>
      <c r="Z192" s="133">
        <f>+SUM('12:25'!Z192)</f>
        <v>0</v>
      </c>
      <c r="AA192" s="133">
        <f>+SUM('12:25'!AA192)</f>
        <v>0</v>
      </c>
      <c r="AB192" s="133">
        <f>+SUM('12:25'!AB192)</f>
        <v>0</v>
      </c>
      <c r="AC192" s="133">
        <f>+SUM('12:25'!AC192)</f>
        <v>0</v>
      </c>
      <c r="AD192" s="1">
        <f t="shared" si="19"/>
        <v>0</v>
      </c>
      <c r="AE192" s="1">
        <v>189.93</v>
      </c>
      <c r="AF192" s="1">
        <f t="shared" si="20"/>
        <v>0</v>
      </c>
    </row>
    <row r="193" spans="1:32" ht="21.95" customHeight="1">
      <c r="A193" s="140">
        <v>300440</v>
      </c>
      <c r="B193" s="135" t="s">
        <v>87</v>
      </c>
      <c r="C193" s="226" t="s">
        <v>312</v>
      </c>
      <c r="D193" s="226" t="s">
        <v>89</v>
      </c>
      <c r="E193" s="139" t="s">
        <v>41</v>
      </c>
      <c r="F193" s="13"/>
      <c r="G193" s="133">
        <f>+SUM('12:25'!G193)</f>
        <v>0</v>
      </c>
      <c r="H193" s="133">
        <f>+SUM('12:25'!H193)</f>
        <v>0</v>
      </c>
      <c r="I193" s="133">
        <f>+SUM('12:25'!I193)</f>
        <v>0</v>
      </c>
      <c r="J193" s="133">
        <f>+SUM('12:25'!J193)</f>
        <v>0</v>
      </c>
      <c r="K193" s="137">
        <f>G193*M193</f>
        <v>0</v>
      </c>
      <c r="L193" s="137">
        <f>I193*M193</f>
        <v>0</v>
      </c>
      <c r="M193" s="137">
        <v>336.6</v>
      </c>
      <c r="N193" s="137">
        <f>+M193*1000/(45*10*18*60)*T193</f>
        <v>1.3851851851851851</v>
      </c>
      <c r="O193" s="133">
        <f>+SUM('12:25'!O193)</f>
        <v>0</v>
      </c>
      <c r="P193" s="137">
        <f>N193*I193+O193*U193</f>
        <v>0</v>
      </c>
      <c r="Q193" s="133">
        <f>+SUM('12:25'!Q193)</f>
        <v>0</v>
      </c>
      <c r="R193" s="19">
        <f>Q193*U193</f>
        <v>0</v>
      </c>
      <c r="S193" s="137">
        <f>R193-P193</f>
        <v>0</v>
      </c>
      <c r="T193" s="20">
        <v>2</v>
      </c>
      <c r="U193" s="133">
        <f>+SUM('12:25'!U193)</f>
        <v>0</v>
      </c>
      <c r="V193" s="143"/>
      <c r="W193" s="133">
        <f>+SUM('12:25'!W193)</f>
        <v>0</v>
      </c>
      <c r="X193" s="133">
        <f>+SUM('12:25'!X193)</f>
        <v>0</v>
      </c>
      <c r="Y193" s="133">
        <f>+SUM('12:25'!Y193)</f>
        <v>0</v>
      </c>
      <c r="Z193" s="133">
        <f>+SUM('12:25'!Z193)</f>
        <v>0</v>
      </c>
      <c r="AA193" s="133">
        <f>+SUM('12:25'!AA193)</f>
        <v>0</v>
      </c>
      <c r="AB193" s="133">
        <f>+SUM('12:25'!AB193)</f>
        <v>0</v>
      </c>
      <c r="AC193" s="133">
        <f>+SUM('12:25'!AC193)</f>
        <v>0</v>
      </c>
      <c r="AD193" s="1">
        <f t="shared" si="19"/>
        <v>0</v>
      </c>
      <c r="AE193" s="1">
        <v>189.93</v>
      </c>
      <c r="AF193" s="1">
        <f t="shared" si="20"/>
        <v>0</v>
      </c>
    </row>
    <row r="194" spans="1:32" ht="21.95" customHeight="1">
      <c r="A194" s="140">
        <v>300441</v>
      </c>
      <c r="B194" s="135" t="s">
        <v>87</v>
      </c>
      <c r="C194" s="226" t="s">
        <v>312</v>
      </c>
      <c r="D194" s="226" t="s">
        <v>89</v>
      </c>
      <c r="E194" s="139" t="s">
        <v>37</v>
      </c>
      <c r="F194" s="13"/>
      <c r="G194" s="133">
        <f>+SUM('12:25'!G194)</f>
        <v>0</v>
      </c>
      <c r="H194" s="133">
        <f>+SUM('12:25'!H194)</f>
        <v>0</v>
      </c>
      <c r="I194" s="133">
        <f>+SUM('12:25'!I194)</f>
        <v>0</v>
      </c>
      <c r="J194" s="133">
        <f>+SUM('12:25'!J194)</f>
        <v>0</v>
      </c>
      <c r="K194" s="137">
        <f>G194*M194</f>
        <v>0</v>
      </c>
      <c r="L194" s="137">
        <f>I194*M194</f>
        <v>0</v>
      </c>
      <c r="M194" s="137">
        <v>336.6</v>
      </c>
      <c r="N194" s="137">
        <f>+M194*1000/(45*10*18*60)*T194</f>
        <v>1.3851851851851851</v>
      </c>
      <c r="O194" s="133">
        <f>+SUM('12:25'!O194)</f>
        <v>0</v>
      </c>
      <c r="P194" s="137">
        <f>N194*I194+O194*U194</f>
        <v>0</v>
      </c>
      <c r="Q194" s="133">
        <f>+SUM('12:25'!Q194)</f>
        <v>0</v>
      </c>
      <c r="R194" s="19">
        <f>Q194*U194</f>
        <v>0</v>
      </c>
      <c r="S194" s="137">
        <f>R194-P194</f>
        <v>0</v>
      </c>
      <c r="T194" s="20">
        <v>2</v>
      </c>
      <c r="U194" s="133">
        <f>+SUM('12:25'!U194)</f>
        <v>0</v>
      </c>
      <c r="V194" s="143"/>
      <c r="W194" s="133">
        <f>+SUM('12:25'!W194)</f>
        <v>0</v>
      </c>
      <c r="X194" s="133">
        <f>+SUM('12:25'!X194)</f>
        <v>0</v>
      </c>
      <c r="Y194" s="133">
        <f>+SUM('12:25'!Y194)</f>
        <v>0</v>
      </c>
      <c r="Z194" s="133">
        <f>+SUM('12:25'!Z194)</f>
        <v>0</v>
      </c>
      <c r="AA194" s="133">
        <f>+SUM('12:25'!AA194)</f>
        <v>0</v>
      </c>
      <c r="AB194" s="133">
        <f>+SUM('12:25'!AB194)</f>
        <v>0</v>
      </c>
      <c r="AC194" s="133">
        <f>+SUM('12:25'!AC194)</f>
        <v>0</v>
      </c>
      <c r="AD194" s="1">
        <f t="shared" si="19"/>
        <v>0</v>
      </c>
      <c r="AE194" s="1">
        <v>189.93</v>
      </c>
      <c r="AF194" s="1">
        <f t="shared" si="20"/>
        <v>0</v>
      </c>
    </row>
    <row r="195" spans="1:32" s="2" customFormat="1" ht="21.95" customHeight="1">
      <c r="A195" s="144">
        <v>300406</v>
      </c>
      <c r="B195" s="135" t="s">
        <v>171</v>
      </c>
      <c r="C195" s="237" t="s">
        <v>172</v>
      </c>
      <c r="D195" s="238"/>
      <c r="E195" s="136" t="s">
        <v>149</v>
      </c>
      <c r="F195" s="27"/>
      <c r="G195" s="133">
        <f>+SUM('12:25'!G195)</f>
        <v>0</v>
      </c>
      <c r="H195" s="133">
        <f>+SUM('12:25'!H195)</f>
        <v>0</v>
      </c>
      <c r="I195" s="133">
        <f>+SUM('12:25'!I195)</f>
        <v>0</v>
      </c>
      <c r="J195" s="133">
        <f>+SUM('12:25'!J195)</f>
        <v>0</v>
      </c>
      <c r="K195" s="149">
        <f t="shared" ref="K195:K198" si="29">G195*M195</f>
        <v>0</v>
      </c>
      <c r="L195" s="137">
        <f t="shared" ref="L195:L198" si="30">I195*M195</f>
        <v>0</v>
      </c>
      <c r="M195" s="137">
        <v>628.29999999999995</v>
      </c>
      <c r="N195" s="15">
        <f>+M195*1000/(132*4*18*60)*T195</f>
        <v>5.5090838945005611</v>
      </c>
      <c r="O195" s="133">
        <f>+SUM('12:25'!O195)</f>
        <v>0</v>
      </c>
      <c r="P195" s="137">
        <f t="shared" ref="P195:P198" si="31">N195*I195+O195*U195</f>
        <v>0</v>
      </c>
      <c r="Q195" s="133">
        <f>+SUM('12:25'!Q195)</f>
        <v>0</v>
      </c>
      <c r="R195" s="19">
        <f t="shared" ref="R195:R198" si="32">Q195*U195</f>
        <v>0</v>
      </c>
      <c r="S195" s="137">
        <f t="shared" ref="S195:S198" si="33">R195-P195</f>
        <v>0</v>
      </c>
      <c r="T195" s="20">
        <v>5</v>
      </c>
      <c r="U195" s="133">
        <f>+SUM('12:25'!U195)</f>
        <v>0</v>
      </c>
      <c r="V195" s="143" t="str">
        <f t="array" ref="V195">IF(ISERROR(L195/K195),"",L195/K195)</f>
        <v/>
      </c>
      <c r="W195" s="133">
        <f>+SUM('12:25'!W195)</f>
        <v>0</v>
      </c>
      <c r="X195" s="133">
        <f>+SUM('12:25'!X195)</f>
        <v>0</v>
      </c>
      <c r="Y195" s="133">
        <f>+SUM('12:25'!Y195)</f>
        <v>0</v>
      </c>
      <c r="Z195" s="133">
        <f>+SUM('12:25'!Z195)</f>
        <v>0</v>
      </c>
      <c r="AA195" s="133">
        <f>+SUM('12:25'!AA195)</f>
        <v>0</v>
      </c>
      <c r="AB195" s="133">
        <f>+SUM('12:25'!AB195)</f>
        <v>0</v>
      </c>
      <c r="AC195" s="133">
        <f>+SUM('12:25'!AC195)</f>
        <v>0</v>
      </c>
      <c r="AD195" s="1">
        <f t="shared" si="19"/>
        <v>0</v>
      </c>
      <c r="AE195" s="52">
        <v>184.86</v>
      </c>
      <c r="AF195" s="1">
        <f t="shared" si="20"/>
        <v>0</v>
      </c>
    </row>
    <row r="196" spans="1:32" s="2" customFormat="1" ht="21.95" customHeight="1">
      <c r="A196" s="144">
        <v>300407</v>
      </c>
      <c r="B196" s="135" t="s">
        <v>171</v>
      </c>
      <c r="C196" s="237" t="s">
        <v>172</v>
      </c>
      <c r="D196" s="238"/>
      <c r="E196" s="136" t="s">
        <v>173</v>
      </c>
      <c r="F196" s="27"/>
      <c r="G196" s="133">
        <f>+SUM('12:25'!G196)</f>
        <v>0</v>
      </c>
      <c r="H196" s="133">
        <f>+SUM('12:25'!H196)</f>
        <v>0</v>
      </c>
      <c r="I196" s="133">
        <f>+SUM('12:25'!I196)</f>
        <v>0</v>
      </c>
      <c r="J196" s="133">
        <f>+SUM('12:25'!J196)</f>
        <v>0</v>
      </c>
      <c r="K196" s="149">
        <f t="shared" si="29"/>
        <v>0</v>
      </c>
      <c r="L196" s="137">
        <f t="shared" si="30"/>
        <v>0</v>
      </c>
      <c r="M196" s="137">
        <v>628.29999999999995</v>
      </c>
      <c r="N196" s="15">
        <f>+M196*1000/(132*4*18*60)*T196</f>
        <v>5.5090838945005611</v>
      </c>
      <c r="O196" s="133">
        <f>+SUM('12:25'!O196)</f>
        <v>0</v>
      </c>
      <c r="P196" s="137">
        <f t="shared" si="31"/>
        <v>0</v>
      </c>
      <c r="Q196" s="133">
        <f>+SUM('12:25'!Q196)</f>
        <v>0</v>
      </c>
      <c r="R196" s="19">
        <f t="shared" si="32"/>
        <v>0</v>
      </c>
      <c r="S196" s="137">
        <f t="shared" si="33"/>
        <v>0</v>
      </c>
      <c r="T196" s="20">
        <v>5</v>
      </c>
      <c r="U196" s="133">
        <f>+SUM('12:25'!U196)</f>
        <v>0</v>
      </c>
      <c r="V196" s="143" t="str">
        <f t="array" ref="V196">IF(ISERROR(L196/K196),"",L196/K196)</f>
        <v/>
      </c>
      <c r="W196" s="133">
        <f>+SUM('12:25'!W196)</f>
        <v>0</v>
      </c>
      <c r="X196" s="133">
        <f>+SUM('12:25'!X196)</f>
        <v>0</v>
      </c>
      <c r="Y196" s="133">
        <f>+SUM('12:25'!Y196)</f>
        <v>0</v>
      </c>
      <c r="Z196" s="133">
        <f>+SUM('12:25'!Z196)</f>
        <v>0</v>
      </c>
      <c r="AA196" s="133">
        <f>+SUM('12:25'!AA196)</f>
        <v>0</v>
      </c>
      <c r="AB196" s="133">
        <f>+SUM('12:25'!AB196)</f>
        <v>0</v>
      </c>
      <c r="AC196" s="133">
        <f>+SUM('12:25'!AC196)</f>
        <v>0</v>
      </c>
      <c r="AD196" s="1">
        <f t="shared" si="19"/>
        <v>0</v>
      </c>
      <c r="AE196" s="52">
        <v>184.86</v>
      </c>
      <c r="AF196" s="1">
        <f t="shared" si="20"/>
        <v>0</v>
      </c>
    </row>
    <row r="197" spans="1:32" s="2" customFormat="1" ht="21.95" customHeight="1">
      <c r="A197" s="144">
        <v>300408</v>
      </c>
      <c r="B197" s="135" t="s">
        <v>171</v>
      </c>
      <c r="C197" s="237" t="s">
        <v>172</v>
      </c>
      <c r="D197" s="238"/>
      <c r="E197" s="136" t="s">
        <v>41</v>
      </c>
      <c r="F197" s="27"/>
      <c r="G197" s="133">
        <f>+SUM('12:25'!G197)</f>
        <v>0</v>
      </c>
      <c r="H197" s="133">
        <f>+SUM('12:25'!H197)</f>
        <v>0</v>
      </c>
      <c r="I197" s="133">
        <f>+SUM('12:25'!I197)</f>
        <v>0</v>
      </c>
      <c r="J197" s="133">
        <f>+SUM('12:25'!J197)</f>
        <v>0</v>
      </c>
      <c r="K197" s="149">
        <f t="shared" si="29"/>
        <v>0</v>
      </c>
      <c r="L197" s="137">
        <f t="shared" si="30"/>
        <v>0</v>
      </c>
      <c r="M197" s="137">
        <v>628.29999999999995</v>
      </c>
      <c r="N197" s="15">
        <f>+M197*1000/(132*4*18*60)*T197</f>
        <v>5.5090838945005611</v>
      </c>
      <c r="O197" s="133">
        <f>+SUM('12:25'!O197)</f>
        <v>0</v>
      </c>
      <c r="P197" s="137">
        <f t="shared" si="31"/>
        <v>0</v>
      </c>
      <c r="Q197" s="133">
        <f>+SUM('12:25'!Q197)</f>
        <v>0</v>
      </c>
      <c r="R197" s="19">
        <f t="shared" si="32"/>
        <v>0</v>
      </c>
      <c r="S197" s="137">
        <f t="shared" si="33"/>
        <v>0</v>
      </c>
      <c r="T197" s="20">
        <v>5</v>
      </c>
      <c r="U197" s="133">
        <f>+SUM('12:25'!U197)</f>
        <v>0</v>
      </c>
      <c r="V197" s="143" t="str">
        <f t="array" ref="V197">IF(ISERROR(L197/K197),"",L197/K197)</f>
        <v/>
      </c>
      <c r="W197" s="133">
        <f>+SUM('12:25'!W197)</f>
        <v>0</v>
      </c>
      <c r="X197" s="133">
        <f>+SUM('12:25'!X197)</f>
        <v>0</v>
      </c>
      <c r="Y197" s="133">
        <f>+SUM('12:25'!Y197)</f>
        <v>0</v>
      </c>
      <c r="Z197" s="133">
        <f>+SUM('12:25'!Z197)</f>
        <v>0</v>
      </c>
      <c r="AA197" s="133">
        <f>+SUM('12:25'!AA197)</f>
        <v>0</v>
      </c>
      <c r="AB197" s="133">
        <f>+SUM('12:25'!AB197)</f>
        <v>0</v>
      </c>
      <c r="AC197" s="133">
        <f>+SUM('12:25'!AC197)</f>
        <v>0</v>
      </c>
      <c r="AD197" s="1">
        <f t="shared" si="19"/>
        <v>0</v>
      </c>
      <c r="AE197" s="52">
        <v>184.86</v>
      </c>
      <c r="AF197" s="1">
        <f t="shared" si="20"/>
        <v>0</v>
      </c>
    </row>
    <row r="198" spans="1:32" s="2" customFormat="1" ht="21.95" customHeight="1">
      <c r="A198" s="144">
        <v>300409</v>
      </c>
      <c r="B198" s="135" t="s">
        <v>171</v>
      </c>
      <c r="C198" s="237" t="s">
        <v>172</v>
      </c>
      <c r="D198" s="238"/>
      <c r="E198" s="136" t="s">
        <v>174</v>
      </c>
      <c r="F198" s="27"/>
      <c r="G198" s="133">
        <f>+SUM('12:25'!G198)</f>
        <v>0</v>
      </c>
      <c r="H198" s="133">
        <f>+SUM('12:25'!H198)</f>
        <v>0</v>
      </c>
      <c r="I198" s="133">
        <f>+SUM('12:25'!I198)</f>
        <v>0</v>
      </c>
      <c r="J198" s="133">
        <f>+SUM('12:25'!J198)</f>
        <v>0</v>
      </c>
      <c r="K198" s="149">
        <f t="shared" si="29"/>
        <v>0</v>
      </c>
      <c r="L198" s="137">
        <f t="shared" si="30"/>
        <v>0</v>
      </c>
      <c r="M198" s="137">
        <v>628.29999999999995</v>
      </c>
      <c r="N198" s="15">
        <f>+M198*1000/(132*4*18*60)*T198</f>
        <v>5.5090838945005611</v>
      </c>
      <c r="O198" s="133">
        <f>+SUM('12:25'!O198)</f>
        <v>0</v>
      </c>
      <c r="P198" s="137">
        <f t="shared" si="31"/>
        <v>0</v>
      </c>
      <c r="Q198" s="133">
        <f>+SUM('12:25'!Q198)</f>
        <v>0</v>
      </c>
      <c r="R198" s="19">
        <f t="shared" si="32"/>
        <v>0</v>
      </c>
      <c r="S198" s="137">
        <f t="shared" si="33"/>
        <v>0</v>
      </c>
      <c r="T198" s="20">
        <v>5</v>
      </c>
      <c r="U198" s="133">
        <f>+SUM('12:25'!U198)</f>
        <v>0</v>
      </c>
      <c r="V198" s="143" t="str">
        <f t="array" ref="V198">IF(ISERROR(L198/K198),"",L198/K198)</f>
        <v/>
      </c>
      <c r="W198" s="133">
        <f>+SUM('12:25'!W198)</f>
        <v>0</v>
      </c>
      <c r="X198" s="133">
        <f>+SUM('12:25'!X198)</f>
        <v>0</v>
      </c>
      <c r="Y198" s="133">
        <f>+SUM('12:25'!Y198)</f>
        <v>0</v>
      </c>
      <c r="Z198" s="133">
        <f>+SUM('12:25'!Z198)</f>
        <v>0</v>
      </c>
      <c r="AA198" s="133">
        <f>+SUM('12:25'!AA198)</f>
        <v>0</v>
      </c>
      <c r="AB198" s="133">
        <f>+SUM('12:25'!AB198)</f>
        <v>0</v>
      </c>
      <c r="AC198" s="133">
        <f>+SUM('12:25'!AC198)</f>
        <v>0</v>
      </c>
      <c r="AD198" s="1">
        <f t="shared" si="19"/>
        <v>0</v>
      </c>
      <c r="AE198" s="52">
        <v>184.86</v>
      </c>
      <c r="AF198" s="1">
        <f t="shared" si="20"/>
        <v>0</v>
      </c>
    </row>
    <row r="199" spans="1:32" ht="21.95" customHeight="1">
      <c r="A199" s="227" t="s">
        <v>175</v>
      </c>
      <c r="B199" s="227"/>
      <c r="C199" s="227"/>
      <c r="D199" s="227"/>
      <c r="E199" s="227"/>
      <c r="F199" s="227"/>
      <c r="G199" s="137">
        <f t="array" ref="G199">SUM(IF(ISERROR(G6:G198),“”,G6:G198))</f>
        <v>90.144761904761907</v>
      </c>
      <c r="H199" s="137">
        <f t="array" ref="H199">SUM(IF(ISERROR(H6:H198),“”,H6:H198))</f>
        <v>3.2247619047619045</v>
      </c>
      <c r="I199" s="137">
        <f t="array" ref="I199">SUM(IF(ISERROR(I6:I198),“”,I6:I198))</f>
        <v>88.934047619047604</v>
      </c>
      <c r="J199" s="137">
        <f t="array" ref="J199">SUM(IF(ISERROR(J6:J198),“”,J6:J198))</f>
        <v>930</v>
      </c>
      <c r="K199" s="133">
        <f>+SUM('12:25'!K199)</f>
        <v>43930.687504761903</v>
      </c>
      <c r="L199" s="133">
        <f>+SUM('12:25'!L199)</f>
        <v>43326.061504761899</v>
      </c>
      <c r="M199" s="137"/>
      <c r="N199" s="137"/>
      <c r="O199" s="137">
        <f>SUM(O6:O190)</f>
        <v>8.5</v>
      </c>
      <c r="P199" s="56">
        <f>SUM((P6:P190),(W204:X209))</f>
        <v>895.8658588094836</v>
      </c>
      <c r="Q199" s="137"/>
      <c r="R199" s="56">
        <f>SUM((R6:R190),(Y204:Z209))</f>
        <v>755.5</v>
      </c>
      <c r="S199" s="137">
        <f t="array" ref="S199">SUM(IF(ISERROR(S6:S198),“”,S6:S198))</f>
        <v>-41.365858809483484</v>
      </c>
      <c r="T199" s="137"/>
      <c r="U199" s="137"/>
      <c r="V199" s="143">
        <f>IF(ISERROR(L199/K199),"",L199/K199)</f>
        <v>0.98623681908154825</v>
      </c>
      <c r="W199" s="137">
        <f t="array" ref="W199">SUM(IF(ISERROR(W6:W198),“”,W6:W198))</f>
        <v>5</v>
      </c>
      <c r="X199" s="137">
        <f t="array" ref="X199">SUM(IF(ISERROR(X6:X198),“”,X6:X198))</f>
        <v>1.5</v>
      </c>
      <c r="Y199" s="137">
        <f t="array" ref="Y199">SUM(IF(ISERROR(Y6:Y198),“”,Y6:Y198))</f>
        <v>0</v>
      </c>
      <c r="Z199" s="137">
        <f t="array" ref="Z199">SUM(IF(ISERROR(Z6:Z198),“”,Z6:Z198))</f>
        <v>0</v>
      </c>
      <c r="AA199" s="137">
        <f t="array" ref="AA199">SUM(IF(ISERROR(AA6:AA198),“”,AA6:AA198))</f>
        <v>40</v>
      </c>
      <c r="AB199" s="137">
        <f t="array" ref="AB199">SUM(IF(ISERROR(AB6:AB198),“”,AB6:AB198))</f>
        <v>0</v>
      </c>
      <c r="AC199" s="137">
        <f t="array" ref="AC199">SUM(IF(ISERROR(AC6:AC198),“”,AC6:AC198))</f>
        <v>0</v>
      </c>
      <c r="AD199" s="1">
        <f>SUM(AD6:AD198)</f>
        <v>43.326061504761896</v>
      </c>
      <c r="AF199" s="1">
        <f>SUM(AF6:AF198)</f>
        <v>7683.8718928070475</v>
      </c>
    </row>
    <row r="200" spans="1:32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>
        <f>IF(ISERROR(P199/R199),"",P199/R199)</f>
        <v>1.1857920037187075</v>
      </c>
      <c r="P200" s="252"/>
      <c r="Q200" s="252"/>
      <c r="R200" s="253"/>
      <c r="S200" s="44"/>
      <c r="T200" s="45"/>
      <c r="U200" s="45"/>
      <c r="V200" s="45"/>
      <c r="W200" s="254">
        <f>SUM(W199:AC199)</f>
        <v>46.5</v>
      </c>
      <c r="X200" s="255"/>
      <c r="Y200" s="255"/>
      <c r="Z200" s="255"/>
      <c r="AA200" s="255"/>
      <c r="AB200" s="255"/>
      <c r="AC200" s="256"/>
    </row>
    <row r="201" spans="1:32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32" ht="21.95" customHeight="1">
      <c r="A202" s="257"/>
      <c r="B202" s="257"/>
      <c r="C202" s="257" t="s">
        <v>191</v>
      </c>
      <c r="D202" s="257"/>
      <c r="E202" s="339">
        <f>+SUM('12:25'!E202)</f>
        <v>218</v>
      </c>
      <c r="F202" s="340"/>
      <c r="G202" s="339">
        <f>+SUM('12:25'!G202)</f>
        <v>193.6</v>
      </c>
      <c r="H202" s="340"/>
      <c r="I202" s="257">
        <f>G202-E202</f>
        <v>-24.400000000000006</v>
      </c>
      <c r="J202" s="257"/>
      <c r="K202" s="259">
        <f t="array" ref="K202">IF(ISERROR(I202/E202),"",I202/E202)</f>
        <v>-0.11192660550458718</v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32" ht="21.95" customHeight="1">
      <c r="A203" s="257"/>
      <c r="B203" s="257"/>
      <c r="C203" s="257" t="s">
        <v>192</v>
      </c>
      <c r="D203" s="257"/>
      <c r="E203" s="339">
        <f>+SUM('12:25'!E203)</f>
        <v>7311.5</v>
      </c>
      <c r="F203" s="340"/>
      <c r="G203" s="339">
        <f>+SUM('12:25'!G203)</f>
        <v>7826.5000000000009</v>
      </c>
      <c r="H203" s="340"/>
      <c r="I203" s="257">
        <f>G203-E203</f>
        <v>515.00000000000091</v>
      </c>
      <c r="J203" s="257"/>
      <c r="K203" s="259">
        <f t="array" ref="K203">IF(ISERROR(I203/E203),"",I203/E203)</f>
        <v>7.0436982835259648E-2</v>
      </c>
      <c r="L203" s="259"/>
      <c r="M203" s="244"/>
      <c r="N203" s="245"/>
      <c r="O203" s="260"/>
      <c r="P203" s="260"/>
      <c r="Q203" s="261" t="s">
        <v>193</v>
      </c>
      <c r="R203" s="261"/>
      <c r="S203" s="339">
        <f>+SUM('12:25'!S203)</f>
        <v>40</v>
      </c>
      <c r="T203" s="340"/>
      <c r="U203" s="339">
        <f>+SUM('12:25'!U203)</f>
        <v>46</v>
      </c>
      <c r="V203" s="340"/>
      <c r="W203" s="261">
        <f t="shared" ref="W203:W209" si="34">S203*11</f>
        <v>440</v>
      </c>
      <c r="X203" s="261"/>
      <c r="Y203" s="261">
        <f t="shared" ref="Y203:Y209" si="35">U203*11</f>
        <v>506</v>
      </c>
      <c r="Z203" s="261"/>
      <c r="AA203" s="261">
        <f t="shared" ref="AA203:AA210" si="36">Y203-W203</f>
        <v>66</v>
      </c>
      <c r="AB203" s="261"/>
      <c r="AC203" s="261"/>
    </row>
    <row r="204" spans="1:32" ht="21.95" customHeight="1">
      <c r="A204" s="257"/>
      <c r="B204" s="257"/>
      <c r="C204" s="257" t="s">
        <v>194</v>
      </c>
      <c r="D204" s="257"/>
      <c r="E204" s="339">
        <f>+SUM('12:25'!E204)</f>
        <v>1378.1999999999998</v>
      </c>
      <c r="F204" s="340"/>
      <c r="G204" s="339">
        <f>+SUM('12:25'!G204)</f>
        <v>1395</v>
      </c>
      <c r="H204" s="340"/>
      <c r="I204" s="257">
        <f>G204-E204</f>
        <v>16.800000000000182</v>
      </c>
      <c r="J204" s="257"/>
      <c r="K204" s="259">
        <f t="array" ref="K204">IF(ISERROR(I204/E204),"",I204/E204)</f>
        <v>1.2189812799303573E-2</v>
      </c>
      <c r="L204" s="259"/>
      <c r="M204" s="244"/>
      <c r="N204" s="245"/>
      <c r="O204" s="260"/>
      <c r="P204" s="260"/>
      <c r="Q204" s="261" t="s">
        <v>195</v>
      </c>
      <c r="R204" s="261"/>
      <c r="S204" s="339">
        <f>+SUM('12:25'!S204)</f>
        <v>10</v>
      </c>
      <c r="T204" s="340"/>
      <c r="U204" s="339">
        <f>+SUM('12:25'!U204)</f>
        <v>12</v>
      </c>
      <c r="V204" s="340"/>
      <c r="W204" s="261">
        <f t="shared" si="34"/>
        <v>110</v>
      </c>
      <c r="X204" s="261"/>
      <c r="Y204" s="261">
        <f t="shared" si="35"/>
        <v>132</v>
      </c>
      <c r="Z204" s="261"/>
      <c r="AA204" s="261">
        <f t="shared" si="36"/>
        <v>22</v>
      </c>
      <c r="AB204" s="261"/>
      <c r="AC204" s="261"/>
    </row>
    <row r="205" spans="1:32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339">
        <f>+SUM('12:25'!S205)</f>
        <v>3.75</v>
      </c>
      <c r="T205" s="340"/>
      <c r="U205" s="339">
        <f>+SUM('12:25'!U205)</f>
        <v>1</v>
      </c>
      <c r="V205" s="340"/>
      <c r="W205" s="261">
        <f t="shared" si="34"/>
        <v>41.25</v>
      </c>
      <c r="X205" s="261"/>
      <c r="Y205" s="261">
        <f t="shared" si="35"/>
        <v>11</v>
      </c>
      <c r="Z205" s="261"/>
      <c r="AA205" s="261">
        <f t="shared" si="36"/>
        <v>-30.25</v>
      </c>
      <c r="AB205" s="261"/>
      <c r="AC205" s="261"/>
    </row>
    <row r="206" spans="1:32" ht="21.95" customHeight="1">
      <c r="A206" s="287"/>
      <c r="B206" s="288"/>
      <c r="C206" s="36" t="s">
        <v>203</v>
      </c>
      <c r="D206" s="37" t="s">
        <v>204</v>
      </c>
      <c r="E206" s="38"/>
      <c r="F206" s="142">
        <v>5</v>
      </c>
      <c r="G206" s="339">
        <f>+SUM('12:25'!G206)</f>
        <v>738313</v>
      </c>
      <c r="H206" s="340"/>
      <c r="I206" s="339">
        <f>+SUM('12:25'!I206)</f>
        <v>738041</v>
      </c>
      <c r="J206" s="340"/>
      <c r="K206" s="267">
        <f>G206-I206</f>
        <v>272</v>
      </c>
      <c r="L206" s="267"/>
      <c r="M206" s="268">
        <f t="array" ref="M206">IF(ISERROR(K206/L199),"",K206/(L199/1000))</f>
        <v>6.2779765931437108</v>
      </c>
      <c r="N206" s="268"/>
      <c r="O206" s="260"/>
      <c r="P206" s="260"/>
      <c r="Q206" s="261" t="s">
        <v>205</v>
      </c>
      <c r="R206" s="261"/>
      <c r="S206" s="339">
        <f>+SUM('12:25'!S206)</f>
        <v>3.75</v>
      </c>
      <c r="T206" s="340"/>
      <c r="U206" s="339">
        <f>+SUM('12:25'!U206)</f>
        <v>4</v>
      </c>
      <c r="V206" s="340"/>
      <c r="W206" s="261">
        <f t="shared" si="34"/>
        <v>41.25</v>
      </c>
      <c r="X206" s="261"/>
      <c r="Y206" s="261">
        <f t="shared" si="35"/>
        <v>44</v>
      </c>
      <c r="Z206" s="261"/>
      <c r="AA206" s="261">
        <f t="shared" si="36"/>
        <v>2.75</v>
      </c>
      <c r="AB206" s="261"/>
      <c r="AC206" s="261"/>
    </row>
    <row r="207" spans="1:32" ht="21.95" customHeight="1">
      <c r="A207" s="287"/>
      <c r="B207" s="288"/>
      <c r="C207" s="36" t="s">
        <v>206</v>
      </c>
      <c r="D207" s="37" t="s">
        <v>207</v>
      </c>
      <c r="E207" s="38"/>
      <c r="F207" s="142">
        <v>105</v>
      </c>
      <c r="G207" s="339">
        <f>+SUM('12:25'!G207)</f>
        <v>30421884</v>
      </c>
      <c r="H207" s="340"/>
      <c r="I207" s="339">
        <f>+SUM('12:25'!I207)</f>
        <v>30416748</v>
      </c>
      <c r="J207" s="340"/>
      <c r="K207" s="267">
        <f>G207-I207</f>
        <v>5136</v>
      </c>
      <c r="L207" s="267"/>
      <c r="M207" s="268">
        <f t="array" ref="M207">IF(ISERROR(K207/L199),"",K207/(L199/1000))</f>
        <v>118.54296978818418</v>
      </c>
      <c r="N207" s="268"/>
      <c r="O207" s="260"/>
      <c r="P207" s="260"/>
      <c r="Q207" s="261" t="s">
        <v>208</v>
      </c>
      <c r="R207" s="261"/>
      <c r="S207" s="339">
        <f>+SUM('12:25'!S207)</f>
        <v>7.5</v>
      </c>
      <c r="T207" s="340"/>
      <c r="U207" s="339">
        <f>+SUM('12:25'!U207)</f>
        <v>2</v>
      </c>
      <c r="V207" s="340"/>
      <c r="W207" s="261">
        <f t="shared" si="34"/>
        <v>82.5</v>
      </c>
      <c r="X207" s="261"/>
      <c r="Y207" s="261">
        <f t="shared" si="35"/>
        <v>22</v>
      </c>
      <c r="Z207" s="261"/>
      <c r="AA207" s="261">
        <f t="shared" si="36"/>
        <v>-60.5</v>
      </c>
      <c r="AB207" s="261"/>
      <c r="AC207" s="261"/>
    </row>
    <row r="208" spans="1:32" ht="21.95" customHeight="1">
      <c r="A208" s="287"/>
      <c r="B208" s="288"/>
      <c r="C208" s="36" t="s">
        <v>209</v>
      </c>
      <c r="D208" s="37" t="s">
        <v>210</v>
      </c>
      <c r="E208" s="38"/>
      <c r="F208" s="142">
        <v>0.55000000000000004</v>
      </c>
      <c r="G208" s="339">
        <f>+SUM('12:25'!G208)</f>
        <v>0</v>
      </c>
      <c r="H208" s="340"/>
      <c r="I208" s="339">
        <f>+SUM('12:25'!I208)</f>
        <v>0</v>
      </c>
      <c r="J208" s="340"/>
      <c r="K208" s="267">
        <f>G208-I208</f>
        <v>0</v>
      </c>
      <c r="L208" s="267"/>
      <c r="M208" s="271">
        <f t="array" ref="M208">IF(ISERROR(K208/L199),"",K208/(L199/1000))</f>
        <v>0</v>
      </c>
      <c r="N208" s="271"/>
      <c r="O208" s="260"/>
      <c r="P208" s="260"/>
      <c r="Q208" s="261" t="s">
        <v>211</v>
      </c>
      <c r="R208" s="261"/>
      <c r="S208" s="339">
        <f>+SUM('12:25'!S208)</f>
        <v>5</v>
      </c>
      <c r="T208" s="340"/>
      <c r="U208" s="339">
        <f>+SUM('12:25'!U208)</f>
        <v>4</v>
      </c>
      <c r="V208" s="340"/>
      <c r="W208" s="261">
        <f t="shared" si="34"/>
        <v>55</v>
      </c>
      <c r="X208" s="261"/>
      <c r="Y208" s="261">
        <f t="shared" si="35"/>
        <v>44</v>
      </c>
      <c r="Z208" s="261"/>
      <c r="AA208" s="261">
        <f t="shared" si="36"/>
        <v>-11</v>
      </c>
      <c r="AB208" s="261"/>
      <c r="AC208" s="261"/>
    </row>
    <row r="209" spans="1:32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339">
        <f>+SUM('12:25'!K209)</f>
        <v>0</v>
      </c>
      <c r="L209" s="340"/>
      <c r="M209" s="272">
        <f t="array" ref="M209">IF(ISERROR((K209+K210)/L199),"",((K209+K210)*1000)/(L199/1000))</f>
        <v>0</v>
      </c>
      <c r="N209" s="273"/>
      <c r="O209" s="260"/>
      <c r="P209" s="260"/>
      <c r="Q209" s="261" t="s">
        <v>214</v>
      </c>
      <c r="R209" s="261"/>
      <c r="S209" s="339">
        <f>+SUM('12:25'!S209)</f>
        <v>15</v>
      </c>
      <c r="T209" s="340"/>
      <c r="U209" s="339">
        <f>+SUM('12:25'!U209)</f>
        <v>13</v>
      </c>
      <c r="V209" s="340"/>
      <c r="W209" s="261">
        <f t="shared" si="34"/>
        <v>165</v>
      </c>
      <c r="X209" s="261"/>
      <c r="Y209" s="261">
        <f t="shared" si="35"/>
        <v>143</v>
      </c>
      <c r="Z209" s="261"/>
      <c r="AA209" s="261">
        <f t="shared" si="36"/>
        <v>-22</v>
      </c>
      <c r="AB209" s="261"/>
      <c r="AC209" s="261"/>
    </row>
    <row r="210" spans="1:32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339">
        <f>+SUM('12:25'!K210)</f>
        <v>0</v>
      </c>
      <c r="L210" s="340"/>
      <c r="M210" s="274"/>
      <c r="N210" s="275"/>
      <c r="O210" s="260"/>
      <c r="P210" s="260"/>
      <c r="Q210" s="261" t="s">
        <v>216</v>
      </c>
      <c r="R210" s="261"/>
      <c r="S210" s="262">
        <f>SUM(S203:T209)</f>
        <v>85</v>
      </c>
      <c r="T210" s="262"/>
      <c r="U210" s="262">
        <f>SUM(U203:V209)</f>
        <v>82</v>
      </c>
      <c r="V210" s="262"/>
      <c r="W210" s="339">
        <f>+SUM('12:25'!W210)</f>
        <v>935</v>
      </c>
      <c r="X210" s="340"/>
      <c r="Y210" s="339">
        <f>+SUM('12:25'!Y210)</f>
        <v>902</v>
      </c>
      <c r="Z210" s="340"/>
      <c r="AA210" s="261">
        <f t="shared" si="36"/>
        <v>-33</v>
      </c>
      <c r="AB210" s="261"/>
      <c r="AC210" s="261"/>
    </row>
    <row r="211" spans="1:32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>
        <f t="array" ref="S211">IF(ISERROR(L199/Y210),"",L199/Y210)</f>
        <v>48.033327610600779</v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32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32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  <c r="AD213" s="338" t="s">
        <v>316</v>
      </c>
      <c r="AE213" s="338" t="s">
        <v>317</v>
      </c>
      <c r="AF213" s="338" t="s">
        <v>318</v>
      </c>
    </row>
    <row r="214" spans="1:32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35" t="s">
        <v>25</v>
      </c>
      <c r="S214" s="227"/>
      <c r="T214" s="229"/>
      <c r="U214" s="229"/>
      <c r="V214" s="231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  <c r="AD214" s="338"/>
      <c r="AE214" s="338"/>
      <c r="AF214" s="338"/>
    </row>
    <row r="215" spans="1:32" ht="21.95" customHeight="1">
      <c r="A215" s="140">
        <v>300320</v>
      </c>
      <c r="B215" s="135" t="s">
        <v>33</v>
      </c>
      <c r="C215" s="239" t="s">
        <v>34</v>
      </c>
      <c r="D215" s="239"/>
      <c r="E215" s="139" t="s">
        <v>35</v>
      </c>
      <c r="F215" s="13"/>
      <c r="G215" s="133">
        <f>+SUM('12:25'!G215)</f>
        <v>0</v>
      </c>
      <c r="H215" s="133">
        <f>+SUM('12:25'!H215)</f>
        <v>0</v>
      </c>
      <c r="I215" s="133">
        <f>+SUM('12:25'!I215)</f>
        <v>0</v>
      </c>
      <c r="J215" s="133">
        <f>+SUM('12:25'!J215)</f>
        <v>0</v>
      </c>
      <c r="K215" s="137">
        <f t="shared" ref="K215:K285" si="37">G215*M215</f>
        <v>0</v>
      </c>
      <c r="L215" s="137">
        <f t="shared" ref="L215:L285" si="38">I215*M215</f>
        <v>0</v>
      </c>
      <c r="M215" s="137">
        <v>633.6</v>
      </c>
      <c r="N215" s="137">
        <f t="shared" ref="N215:N222" si="39">+M215*1000/(28.3*10*40*60)*T215</f>
        <v>4.6643109540636036</v>
      </c>
      <c r="O215" s="133">
        <f>+SUM('12:25'!O215)</f>
        <v>0</v>
      </c>
      <c r="P215" s="137">
        <f t="shared" ref="P215:P285" si="40">N215*I215+O215*U215</f>
        <v>0</v>
      </c>
      <c r="Q215" s="133">
        <f>+SUM('12:25'!Q215)</f>
        <v>0</v>
      </c>
      <c r="R215" s="19">
        <f t="shared" ref="R215:R285" si="41">Q215*U215</f>
        <v>0</v>
      </c>
      <c r="S215" s="137">
        <f t="shared" ref="S215:S285" si="42">R215-P215</f>
        <v>0</v>
      </c>
      <c r="T215" s="20">
        <v>5</v>
      </c>
      <c r="U215" s="133">
        <f>+SUM('12:25'!U215)</f>
        <v>0</v>
      </c>
      <c r="V215" s="143" t="str">
        <f t="array" ref="V215">IF(ISERROR(L215/K215),"",L215/K215)</f>
        <v/>
      </c>
      <c r="W215" s="133">
        <f>+SUM('12:25'!W215)</f>
        <v>0</v>
      </c>
      <c r="X215" s="133">
        <f>+SUM('12:25'!X215)</f>
        <v>0</v>
      </c>
      <c r="Y215" s="133">
        <f>+SUM('12:25'!Y215)</f>
        <v>0</v>
      </c>
      <c r="Z215" s="133">
        <f>+SUM('12:25'!Z215)</f>
        <v>0</v>
      </c>
      <c r="AA215" s="133">
        <f>+SUM('12:25'!AA215)</f>
        <v>0</v>
      </c>
      <c r="AB215" s="133">
        <f>+SUM('12:25'!AB215)</f>
        <v>0</v>
      </c>
      <c r="AC215" s="133">
        <f>+SUM('12:25'!AC215)</f>
        <v>0</v>
      </c>
      <c r="AD215" s="1">
        <f>+L215/1000</f>
        <v>0</v>
      </c>
      <c r="AE215" s="184">
        <v>130.09</v>
      </c>
      <c r="AF215" s="1">
        <f>+AD215*AE215</f>
        <v>0</v>
      </c>
    </row>
    <row r="216" spans="1:32" s="2" customFormat="1" ht="21.95" customHeight="1">
      <c r="A216" s="140">
        <v>300318</v>
      </c>
      <c r="B216" s="148" t="s">
        <v>33</v>
      </c>
      <c r="C216" s="292" t="s">
        <v>34</v>
      </c>
      <c r="D216" s="292"/>
      <c r="E216" s="48" t="s">
        <v>36</v>
      </c>
      <c r="F216" s="141"/>
      <c r="G216" s="133">
        <f>+SUM('12:25'!G216)</f>
        <v>0</v>
      </c>
      <c r="H216" s="133">
        <f>+SUM('12:25'!H216)</f>
        <v>0</v>
      </c>
      <c r="I216" s="133">
        <f>+SUM('12:25'!I216)</f>
        <v>0</v>
      </c>
      <c r="J216" s="133">
        <f>+SUM('12:25'!J216)</f>
        <v>0</v>
      </c>
      <c r="K216" s="137">
        <f t="shared" si="37"/>
        <v>0</v>
      </c>
      <c r="L216" s="137">
        <f t="shared" si="38"/>
        <v>0</v>
      </c>
      <c r="M216" s="137">
        <v>633.6</v>
      </c>
      <c r="N216" s="137">
        <f t="shared" si="39"/>
        <v>3.7314487632508833</v>
      </c>
      <c r="O216" s="133">
        <f>+SUM('12:25'!O216)</f>
        <v>0</v>
      </c>
      <c r="P216" s="137">
        <f t="shared" si="40"/>
        <v>0</v>
      </c>
      <c r="Q216" s="133">
        <f>+SUM('12:25'!Q216)</f>
        <v>0</v>
      </c>
      <c r="R216" s="19">
        <f t="shared" si="41"/>
        <v>0</v>
      </c>
      <c r="S216" s="137">
        <f t="shared" si="42"/>
        <v>0</v>
      </c>
      <c r="T216" s="20">
        <v>4</v>
      </c>
      <c r="U216" s="133">
        <f>+SUM('12:25'!U216)</f>
        <v>0</v>
      </c>
      <c r="V216" s="143" t="str">
        <f t="array" ref="V216">IF(ISERROR(L216/K216),"",L216/K216)</f>
        <v/>
      </c>
      <c r="W216" s="133">
        <f>+SUM('12:25'!W216)</f>
        <v>0</v>
      </c>
      <c r="X216" s="133">
        <f>+SUM('12:25'!X216)</f>
        <v>0</v>
      </c>
      <c r="Y216" s="133">
        <f>+SUM('12:25'!Y216)</f>
        <v>0</v>
      </c>
      <c r="Z216" s="133">
        <f>+SUM('12:25'!Z216)</f>
        <v>0</v>
      </c>
      <c r="AA216" s="133">
        <f>+SUM('12:25'!AA216)</f>
        <v>0</v>
      </c>
      <c r="AB216" s="133">
        <f>+SUM('12:25'!AB216)</f>
        <v>0</v>
      </c>
      <c r="AC216" s="133">
        <f>+SUM('12:25'!AC216)</f>
        <v>0</v>
      </c>
      <c r="AD216" s="1">
        <f t="shared" ref="AD216:AD279" si="43">+L216/1000</f>
        <v>0</v>
      </c>
      <c r="AE216" s="188">
        <v>130.09</v>
      </c>
      <c r="AF216" s="1">
        <f t="shared" ref="AF216:AF279" si="44">+AD216*AE216</f>
        <v>0</v>
      </c>
    </row>
    <row r="217" spans="1:32" s="2" customFormat="1" ht="21.95" customHeight="1">
      <c r="A217" s="140">
        <v>300319</v>
      </c>
      <c r="B217" s="148" t="s">
        <v>33</v>
      </c>
      <c r="C217" s="292" t="s">
        <v>34</v>
      </c>
      <c r="D217" s="292"/>
      <c r="E217" s="48" t="s">
        <v>37</v>
      </c>
      <c r="F217" s="141"/>
      <c r="G217" s="133">
        <f>+SUM('12:25'!G217)</f>
        <v>0</v>
      </c>
      <c r="H217" s="133">
        <f>+SUM('12:25'!H217)</f>
        <v>0</v>
      </c>
      <c r="I217" s="133">
        <f>+SUM('12:25'!I217)</f>
        <v>0</v>
      </c>
      <c r="J217" s="133">
        <f>+SUM('12:25'!J217)</f>
        <v>0</v>
      </c>
      <c r="K217" s="137">
        <f t="shared" si="37"/>
        <v>0</v>
      </c>
      <c r="L217" s="137">
        <f t="shared" si="38"/>
        <v>0</v>
      </c>
      <c r="M217" s="137">
        <v>633.6</v>
      </c>
      <c r="N217" s="137">
        <f t="shared" si="39"/>
        <v>3.7314487632508833</v>
      </c>
      <c r="O217" s="133">
        <f>+SUM('12:25'!O217)</f>
        <v>0</v>
      </c>
      <c r="P217" s="137">
        <f t="shared" si="40"/>
        <v>0</v>
      </c>
      <c r="Q217" s="133">
        <f>+SUM('12:25'!Q217)</f>
        <v>0</v>
      </c>
      <c r="R217" s="19">
        <f t="shared" si="41"/>
        <v>0</v>
      </c>
      <c r="S217" s="137">
        <f t="shared" si="42"/>
        <v>0</v>
      </c>
      <c r="T217" s="20">
        <v>4</v>
      </c>
      <c r="U217" s="133">
        <f>+SUM('12:25'!U217)</f>
        <v>0</v>
      </c>
      <c r="V217" s="143" t="str">
        <f t="array" ref="V217">IF(ISERROR(L217/K217),"",L217/K217)</f>
        <v/>
      </c>
      <c r="W217" s="133">
        <f>+SUM('12:25'!W217)</f>
        <v>0</v>
      </c>
      <c r="X217" s="133">
        <f>+SUM('12:25'!X217)</f>
        <v>0</v>
      </c>
      <c r="Y217" s="133">
        <f>+SUM('12:25'!Y217)</f>
        <v>0</v>
      </c>
      <c r="Z217" s="133">
        <f>+SUM('12:25'!Z217)</f>
        <v>0</v>
      </c>
      <c r="AA217" s="133">
        <f>+SUM('12:25'!AA217)</f>
        <v>0</v>
      </c>
      <c r="AB217" s="133">
        <f>+SUM('12:25'!AB217)</f>
        <v>0</v>
      </c>
      <c r="AC217" s="133">
        <f>+SUM('12:25'!AC217)</f>
        <v>0</v>
      </c>
      <c r="AD217" s="1">
        <f t="shared" si="43"/>
        <v>0</v>
      </c>
      <c r="AE217" s="188">
        <v>130.09</v>
      </c>
      <c r="AF217" s="1">
        <f t="shared" si="44"/>
        <v>0</v>
      </c>
    </row>
    <row r="218" spans="1:32" s="2" customFormat="1" ht="21.95" customHeight="1">
      <c r="A218" s="140">
        <v>300316</v>
      </c>
      <c r="B218" s="148" t="s">
        <v>33</v>
      </c>
      <c r="C218" s="292" t="s">
        <v>34</v>
      </c>
      <c r="D218" s="292"/>
      <c r="E218" s="48" t="s">
        <v>38</v>
      </c>
      <c r="F218" s="141"/>
      <c r="G218" s="133">
        <f>+SUM('12:25'!G218)</f>
        <v>3</v>
      </c>
      <c r="H218" s="133">
        <f>+SUM('12:25'!H218)</f>
        <v>0</v>
      </c>
      <c r="I218" s="133">
        <f>+SUM('12:25'!I218)</f>
        <v>3</v>
      </c>
      <c r="J218" s="133">
        <f>+SUM('12:25'!J218)</f>
        <v>0</v>
      </c>
      <c r="K218" s="137">
        <f t="shared" si="37"/>
        <v>1848</v>
      </c>
      <c r="L218" s="137">
        <f t="shared" si="38"/>
        <v>1848</v>
      </c>
      <c r="M218" s="137">
        <v>616</v>
      </c>
      <c r="N218" s="137">
        <f t="shared" si="39"/>
        <v>3.6277974087161367</v>
      </c>
      <c r="O218" s="133">
        <f>+SUM('12:25'!O218)</f>
        <v>0</v>
      </c>
      <c r="P218" s="137">
        <f t="shared" si="40"/>
        <v>10.883392226148409</v>
      </c>
      <c r="Q218" s="133">
        <f>+SUM('12:25'!Q218)</f>
        <v>7</v>
      </c>
      <c r="R218" s="19">
        <f t="shared" si="41"/>
        <v>21</v>
      </c>
      <c r="S218" s="137">
        <f t="shared" si="42"/>
        <v>10.116607773851591</v>
      </c>
      <c r="T218" s="20">
        <v>4</v>
      </c>
      <c r="U218" s="133">
        <f>+SUM('12:25'!U218)</f>
        <v>3</v>
      </c>
      <c r="V218" s="143">
        <f t="array" ref="V218">IF(ISERROR(L218/K218),"",L218/K218)</f>
        <v>1</v>
      </c>
      <c r="W218" s="133">
        <f>+SUM('12:25'!W218)</f>
        <v>0</v>
      </c>
      <c r="X218" s="133">
        <f>+SUM('12:25'!X218)</f>
        <v>0</v>
      </c>
      <c r="Y218" s="133">
        <f>+SUM('12:25'!Y218)</f>
        <v>0</v>
      </c>
      <c r="Z218" s="133">
        <f>+SUM('12:25'!Z218)</f>
        <v>0</v>
      </c>
      <c r="AA218" s="133">
        <f>+SUM('12:25'!AA218)</f>
        <v>0.5</v>
      </c>
      <c r="AB218" s="133">
        <f>+SUM('12:25'!AB218)</f>
        <v>0</v>
      </c>
      <c r="AC218" s="133">
        <f>+SUM('12:25'!AC218)</f>
        <v>0</v>
      </c>
      <c r="AD218" s="1">
        <f t="shared" si="43"/>
        <v>1.8480000000000001</v>
      </c>
      <c r="AE218" s="188">
        <v>130.09</v>
      </c>
      <c r="AF218" s="1">
        <f t="shared" si="44"/>
        <v>240.40632000000002</v>
      </c>
    </row>
    <row r="219" spans="1:32" s="2" customFormat="1" ht="21.95" customHeight="1">
      <c r="A219" s="140">
        <v>300317</v>
      </c>
      <c r="B219" s="148" t="s">
        <v>33</v>
      </c>
      <c r="C219" s="292" t="s">
        <v>34</v>
      </c>
      <c r="D219" s="292"/>
      <c r="E219" s="48" t="s">
        <v>39</v>
      </c>
      <c r="F219" s="141"/>
      <c r="G219" s="133">
        <f>+SUM('12:25'!G219)</f>
        <v>0</v>
      </c>
      <c r="H219" s="133">
        <f>+SUM('12:25'!H219)</f>
        <v>0</v>
      </c>
      <c r="I219" s="133">
        <f>+SUM('12:25'!I219)</f>
        <v>0</v>
      </c>
      <c r="J219" s="133">
        <f>+SUM('12:25'!J219)</f>
        <v>0</v>
      </c>
      <c r="K219" s="137">
        <f t="shared" si="37"/>
        <v>0</v>
      </c>
      <c r="L219" s="137">
        <f t="shared" si="38"/>
        <v>0</v>
      </c>
      <c r="M219" s="137">
        <v>616</v>
      </c>
      <c r="N219" s="137">
        <f t="shared" si="39"/>
        <v>3.6277974087161367</v>
      </c>
      <c r="O219" s="133">
        <f>+SUM('12:25'!O219)</f>
        <v>0</v>
      </c>
      <c r="P219" s="137">
        <f t="shared" si="40"/>
        <v>0</v>
      </c>
      <c r="Q219" s="133">
        <f>+SUM('12:25'!Q219)</f>
        <v>0</v>
      </c>
      <c r="R219" s="19">
        <f t="shared" si="41"/>
        <v>0</v>
      </c>
      <c r="S219" s="137">
        <f t="shared" si="42"/>
        <v>0</v>
      </c>
      <c r="T219" s="20">
        <v>4</v>
      </c>
      <c r="U219" s="133">
        <f>+SUM('12:25'!U219)</f>
        <v>0</v>
      </c>
      <c r="V219" s="143" t="str">
        <f t="array" ref="V219">IF(ISERROR(L219/K219),"",L219/K219)</f>
        <v/>
      </c>
      <c r="W219" s="133">
        <f>+SUM('12:25'!W219)</f>
        <v>0</v>
      </c>
      <c r="X219" s="133">
        <f>+SUM('12:25'!X219)</f>
        <v>0</v>
      </c>
      <c r="Y219" s="133">
        <f>+SUM('12:25'!Y219)</f>
        <v>0</v>
      </c>
      <c r="Z219" s="133">
        <f>+SUM('12:25'!Z219)</f>
        <v>0</v>
      </c>
      <c r="AA219" s="133">
        <f>+SUM('12:25'!AA219)</f>
        <v>0</v>
      </c>
      <c r="AB219" s="133">
        <f>+SUM('12:25'!AB219)</f>
        <v>0</v>
      </c>
      <c r="AC219" s="133">
        <f>+SUM('12:25'!AC219)</f>
        <v>0</v>
      </c>
      <c r="AD219" s="1">
        <f t="shared" si="43"/>
        <v>0</v>
      </c>
      <c r="AE219" s="188">
        <v>130.09</v>
      </c>
      <c r="AF219" s="1">
        <f t="shared" si="44"/>
        <v>0</v>
      </c>
    </row>
    <row r="220" spans="1:32" s="2" customFormat="1" ht="21.95" customHeight="1">
      <c r="A220" s="140">
        <v>300315</v>
      </c>
      <c r="B220" s="148" t="s">
        <v>33</v>
      </c>
      <c r="C220" s="292" t="s">
        <v>34</v>
      </c>
      <c r="D220" s="292"/>
      <c r="E220" s="48" t="s">
        <v>40</v>
      </c>
      <c r="F220" s="141"/>
      <c r="G220" s="133">
        <f>+SUM('12:25'!G220)</f>
        <v>0</v>
      </c>
      <c r="H220" s="133">
        <f>+SUM('12:25'!H220)</f>
        <v>0</v>
      </c>
      <c r="I220" s="133">
        <f>+SUM('12:25'!I220)</f>
        <v>0</v>
      </c>
      <c r="J220" s="133">
        <f>+SUM('12:25'!J220)</f>
        <v>0</v>
      </c>
      <c r="K220" s="137">
        <f t="shared" si="37"/>
        <v>0</v>
      </c>
      <c r="L220" s="137">
        <f t="shared" si="38"/>
        <v>0</v>
      </c>
      <c r="M220" s="137">
        <v>616</v>
      </c>
      <c r="N220" s="137">
        <f t="shared" si="39"/>
        <v>3.6277974087161367</v>
      </c>
      <c r="O220" s="133">
        <f>+SUM('12:25'!O220)</f>
        <v>0</v>
      </c>
      <c r="P220" s="137">
        <f t="shared" si="40"/>
        <v>0</v>
      </c>
      <c r="Q220" s="133">
        <f>+SUM('12:25'!Q220)</f>
        <v>0</v>
      </c>
      <c r="R220" s="19">
        <f t="shared" si="41"/>
        <v>0</v>
      </c>
      <c r="S220" s="137">
        <f t="shared" si="42"/>
        <v>0</v>
      </c>
      <c r="T220" s="20">
        <v>4</v>
      </c>
      <c r="U220" s="133">
        <f>+SUM('12:25'!U220)</f>
        <v>0</v>
      </c>
      <c r="V220" s="143" t="str">
        <f t="array" ref="V220">IF(ISERROR(L220/K220),"",L220/K220)</f>
        <v/>
      </c>
      <c r="W220" s="133">
        <f>+SUM('12:25'!W220)</f>
        <v>0</v>
      </c>
      <c r="X220" s="133">
        <f>+SUM('12:25'!X220)</f>
        <v>0</v>
      </c>
      <c r="Y220" s="133">
        <f>+SUM('12:25'!Y220)</f>
        <v>0</v>
      </c>
      <c r="Z220" s="133">
        <f>+SUM('12:25'!Z220)</f>
        <v>0</v>
      </c>
      <c r="AA220" s="133">
        <f>+SUM('12:25'!AA220)</f>
        <v>0</v>
      </c>
      <c r="AB220" s="133">
        <f>+SUM('12:25'!AB220)</f>
        <v>0</v>
      </c>
      <c r="AC220" s="133">
        <f>+SUM('12:25'!AC220)</f>
        <v>0</v>
      </c>
      <c r="AD220" s="1">
        <f t="shared" si="43"/>
        <v>0</v>
      </c>
      <c r="AE220" s="188">
        <v>130.09</v>
      </c>
      <c r="AF220" s="1">
        <f t="shared" si="44"/>
        <v>0</v>
      </c>
    </row>
    <row r="221" spans="1:32" s="2" customFormat="1" ht="21.95" customHeight="1">
      <c r="A221" s="140">
        <v>300314</v>
      </c>
      <c r="B221" s="148" t="s">
        <v>33</v>
      </c>
      <c r="C221" s="292" t="s">
        <v>34</v>
      </c>
      <c r="D221" s="292"/>
      <c r="E221" s="48" t="s">
        <v>41</v>
      </c>
      <c r="F221" s="141"/>
      <c r="G221" s="133">
        <f>+SUM('12:25'!G221)</f>
        <v>0</v>
      </c>
      <c r="H221" s="133">
        <f>+SUM('12:25'!H221)</f>
        <v>0</v>
      </c>
      <c r="I221" s="133">
        <f>+SUM('12:25'!I221)</f>
        <v>0</v>
      </c>
      <c r="J221" s="133">
        <f>+SUM('12:25'!J221)</f>
        <v>0</v>
      </c>
      <c r="K221" s="137">
        <f t="shared" si="37"/>
        <v>0</v>
      </c>
      <c r="L221" s="137">
        <f t="shared" si="38"/>
        <v>0</v>
      </c>
      <c r="M221" s="137">
        <v>616</v>
      </c>
      <c r="N221" s="137">
        <f t="shared" si="39"/>
        <v>3.6277974087161367</v>
      </c>
      <c r="O221" s="133">
        <f>+SUM('12:25'!O221)</f>
        <v>0</v>
      </c>
      <c r="P221" s="137">
        <f t="shared" si="40"/>
        <v>0</v>
      </c>
      <c r="Q221" s="133">
        <f>+SUM('12:25'!Q221)</f>
        <v>0</v>
      </c>
      <c r="R221" s="19">
        <f t="shared" si="41"/>
        <v>0</v>
      </c>
      <c r="S221" s="137">
        <f t="shared" si="42"/>
        <v>0</v>
      </c>
      <c r="T221" s="20">
        <v>4</v>
      </c>
      <c r="U221" s="133">
        <f>+SUM('12:25'!U221)</f>
        <v>0</v>
      </c>
      <c r="V221" s="143" t="str">
        <f t="array" ref="V221">IF(ISERROR(L221/K221),"",L221/K221)</f>
        <v/>
      </c>
      <c r="W221" s="133">
        <f>+SUM('12:25'!W221)</f>
        <v>0</v>
      </c>
      <c r="X221" s="133">
        <f>+SUM('12:25'!X221)</f>
        <v>0</v>
      </c>
      <c r="Y221" s="133">
        <f>+SUM('12:25'!Y221)</f>
        <v>0</v>
      </c>
      <c r="Z221" s="133">
        <f>+SUM('12:25'!Z221)</f>
        <v>0</v>
      </c>
      <c r="AA221" s="133">
        <f>+SUM('12:25'!AA221)</f>
        <v>0</v>
      </c>
      <c r="AB221" s="133">
        <f>+SUM('12:25'!AB221)</f>
        <v>0</v>
      </c>
      <c r="AC221" s="133">
        <f>+SUM('12:25'!AC221)</f>
        <v>0</v>
      </c>
      <c r="AD221" s="1">
        <f t="shared" si="43"/>
        <v>0</v>
      </c>
      <c r="AE221" s="188">
        <v>130.09</v>
      </c>
      <c r="AF221" s="1">
        <f t="shared" si="44"/>
        <v>0</v>
      </c>
    </row>
    <row r="222" spans="1:32" s="2" customFormat="1" ht="21.95" customHeight="1">
      <c r="A222" s="140">
        <v>300313</v>
      </c>
      <c r="B222" s="148" t="s">
        <v>33</v>
      </c>
      <c r="C222" s="292" t="s">
        <v>34</v>
      </c>
      <c r="D222" s="292"/>
      <c r="E222" s="48" t="s">
        <v>42</v>
      </c>
      <c r="F222" s="141"/>
      <c r="G222" s="133">
        <f>+SUM('12:25'!G222)</f>
        <v>3</v>
      </c>
      <c r="H222" s="133">
        <f>+SUM('12:25'!H222)</f>
        <v>0</v>
      </c>
      <c r="I222" s="133">
        <f>+SUM('12:25'!I222)</f>
        <v>3</v>
      </c>
      <c r="J222" s="133">
        <f>+SUM('12:25'!J222)</f>
        <v>0</v>
      </c>
      <c r="K222" s="137">
        <f t="shared" si="37"/>
        <v>1848</v>
      </c>
      <c r="L222" s="137">
        <f t="shared" si="38"/>
        <v>1848</v>
      </c>
      <c r="M222" s="137">
        <v>616</v>
      </c>
      <c r="N222" s="137">
        <f t="shared" si="39"/>
        <v>3.6277974087161367</v>
      </c>
      <c r="O222" s="133">
        <f>+SUM('12:25'!O222)</f>
        <v>0.5</v>
      </c>
      <c r="P222" s="137">
        <f t="shared" si="40"/>
        <v>12.383392226148409</v>
      </c>
      <c r="Q222" s="133">
        <f>+SUM('12:25'!Q222)</f>
        <v>3</v>
      </c>
      <c r="R222" s="19">
        <f t="shared" si="41"/>
        <v>9</v>
      </c>
      <c r="S222" s="137">
        <f t="shared" si="42"/>
        <v>-3.3833922261484091</v>
      </c>
      <c r="T222" s="20">
        <v>4</v>
      </c>
      <c r="U222" s="133">
        <f>+SUM('12:25'!U222)</f>
        <v>3</v>
      </c>
      <c r="V222" s="143">
        <f t="array" ref="V222">IF(ISERROR(L222/K222),"",L222/K222)</f>
        <v>1</v>
      </c>
      <c r="W222" s="133">
        <f>+SUM('12:25'!W222)</f>
        <v>0</v>
      </c>
      <c r="X222" s="133">
        <f>+SUM('12:25'!X222)</f>
        <v>0</v>
      </c>
      <c r="Y222" s="133">
        <f>+SUM('12:25'!Y222)</f>
        <v>0</v>
      </c>
      <c r="Z222" s="133">
        <f>+SUM('12:25'!Z222)</f>
        <v>0</v>
      </c>
      <c r="AA222" s="133">
        <f>+SUM('12:25'!AA222)</f>
        <v>0</v>
      </c>
      <c r="AB222" s="133">
        <f>+SUM('12:25'!AB222)</f>
        <v>0</v>
      </c>
      <c r="AC222" s="133">
        <f>+SUM('12:25'!AC222)</f>
        <v>0</v>
      </c>
      <c r="AD222" s="1">
        <f t="shared" si="43"/>
        <v>1.8480000000000001</v>
      </c>
      <c r="AE222" s="188">
        <v>130.09</v>
      </c>
      <c r="AF222" s="1">
        <f t="shared" si="44"/>
        <v>240.40632000000002</v>
      </c>
    </row>
    <row r="223" spans="1:32" ht="21.95" customHeight="1">
      <c r="A223" s="140"/>
      <c r="B223" s="135" t="s">
        <v>43</v>
      </c>
      <c r="C223" s="237" t="s">
        <v>313</v>
      </c>
      <c r="D223" s="238"/>
      <c r="E223" s="139" t="s">
        <v>314</v>
      </c>
      <c r="F223" s="13"/>
      <c r="G223" s="133">
        <f>+SUM('12:25'!G223)</f>
        <v>0</v>
      </c>
      <c r="H223" s="133">
        <f>+SUM('12:25'!H223)</f>
        <v>0</v>
      </c>
      <c r="I223" s="133">
        <f>+SUM('12:25'!I223)</f>
        <v>0</v>
      </c>
      <c r="J223" s="133">
        <f>+SUM('12:25'!J223)</f>
        <v>0</v>
      </c>
      <c r="K223" s="137">
        <f t="shared" si="37"/>
        <v>0</v>
      </c>
      <c r="L223" s="137">
        <f t="shared" si="38"/>
        <v>0</v>
      </c>
      <c r="M223" s="137">
        <v>213.4</v>
      </c>
      <c r="N223" s="137">
        <f>+M223*1000/(15.4*10*17*60)*T223</f>
        <v>4.0756302521008401</v>
      </c>
      <c r="O223" s="133">
        <f>+SUM('12:25'!O223)</f>
        <v>0</v>
      </c>
      <c r="P223" s="137">
        <f t="shared" si="40"/>
        <v>0</v>
      </c>
      <c r="Q223" s="133">
        <f>+SUM('12:25'!Q223)</f>
        <v>0</v>
      </c>
      <c r="R223" s="19">
        <f t="shared" si="41"/>
        <v>0</v>
      </c>
      <c r="S223" s="137">
        <f t="shared" si="42"/>
        <v>0</v>
      </c>
      <c r="T223" s="20">
        <v>3</v>
      </c>
      <c r="U223" s="133">
        <f>+SUM('12:25'!U223)</f>
        <v>0</v>
      </c>
      <c r="V223" s="143"/>
      <c r="W223" s="133">
        <f>+SUM('12:25'!W223)</f>
        <v>0</v>
      </c>
      <c r="X223" s="133">
        <f>+SUM('12:25'!X223)</f>
        <v>0</v>
      </c>
      <c r="Y223" s="133">
        <f>+SUM('12:25'!Y223)</f>
        <v>0</v>
      </c>
      <c r="Z223" s="133">
        <f>+SUM('12:25'!Z223)</f>
        <v>0</v>
      </c>
      <c r="AA223" s="133">
        <f>+SUM('12:25'!AA223)</f>
        <v>0</v>
      </c>
      <c r="AB223" s="133">
        <f>+SUM('12:25'!AB223)</f>
        <v>0</v>
      </c>
      <c r="AC223" s="133">
        <f>+SUM('12:25'!AC223)</f>
        <v>0</v>
      </c>
      <c r="AD223" s="1">
        <f t="shared" si="43"/>
        <v>0</v>
      </c>
      <c r="AE223" s="184">
        <v>298.94</v>
      </c>
      <c r="AF223" s="1">
        <f t="shared" si="44"/>
        <v>0</v>
      </c>
    </row>
    <row r="224" spans="1:32" ht="21.95" customHeight="1">
      <c r="A224" s="140"/>
      <c r="B224" s="135" t="s">
        <v>43</v>
      </c>
      <c r="C224" s="237" t="s">
        <v>313</v>
      </c>
      <c r="D224" s="238"/>
      <c r="E224" s="139" t="s">
        <v>315</v>
      </c>
      <c r="F224" s="13"/>
      <c r="G224" s="133">
        <f>+SUM('12:25'!G224)</f>
        <v>0</v>
      </c>
      <c r="H224" s="133">
        <f>+SUM('12:25'!H224)</f>
        <v>0</v>
      </c>
      <c r="I224" s="133">
        <f>+SUM('12:25'!I224)</f>
        <v>0</v>
      </c>
      <c r="J224" s="133">
        <f>+SUM('12:25'!J224)</f>
        <v>0</v>
      </c>
      <c r="K224" s="137">
        <f t="shared" si="37"/>
        <v>0</v>
      </c>
      <c r="L224" s="137">
        <f t="shared" si="38"/>
        <v>0</v>
      </c>
      <c r="M224" s="137">
        <v>213.4</v>
      </c>
      <c r="N224" s="137">
        <f>+M224*1000/(15.4*10*17*60)*T224</f>
        <v>4.0756302521008401</v>
      </c>
      <c r="O224" s="133">
        <f>+SUM('12:25'!O224)</f>
        <v>0</v>
      </c>
      <c r="P224" s="137">
        <f t="shared" si="40"/>
        <v>0</v>
      </c>
      <c r="Q224" s="133">
        <f>+SUM('12:25'!Q224)</f>
        <v>0</v>
      </c>
      <c r="R224" s="19">
        <f t="shared" si="41"/>
        <v>0</v>
      </c>
      <c r="S224" s="137">
        <f t="shared" si="42"/>
        <v>0</v>
      </c>
      <c r="T224" s="20">
        <v>3</v>
      </c>
      <c r="U224" s="133">
        <f>+SUM('12:25'!U224)</f>
        <v>0</v>
      </c>
      <c r="V224" s="143"/>
      <c r="W224" s="133">
        <f>+SUM('12:25'!W224)</f>
        <v>0</v>
      </c>
      <c r="X224" s="133">
        <f>+SUM('12:25'!X224)</f>
        <v>0</v>
      </c>
      <c r="Y224" s="133">
        <f>+SUM('12:25'!Y224)</f>
        <v>0</v>
      </c>
      <c r="Z224" s="133">
        <f>+SUM('12:25'!Z224)</f>
        <v>0</v>
      </c>
      <c r="AA224" s="133">
        <f>+SUM('12:25'!AA224)</f>
        <v>0</v>
      </c>
      <c r="AB224" s="133">
        <f>+SUM('12:25'!AB224)</f>
        <v>0</v>
      </c>
      <c r="AC224" s="133">
        <f>+SUM('12:25'!AC224)</f>
        <v>0</v>
      </c>
      <c r="AD224" s="1">
        <f t="shared" si="43"/>
        <v>0</v>
      </c>
      <c r="AE224" s="184">
        <v>298.94</v>
      </c>
      <c r="AF224" s="1">
        <f t="shared" si="44"/>
        <v>0</v>
      </c>
    </row>
    <row r="225" spans="1:32" s="2" customFormat="1" ht="21.95" customHeight="1">
      <c r="A225" s="135">
        <v>300202</v>
      </c>
      <c r="B225" s="135" t="s">
        <v>52</v>
      </c>
      <c r="C225" s="237" t="s">
        <v>44</v>
      </c>
      <c r="D225" s="238"/>
      <c r="E225" s="135" t="s">
        <v>35</v>
      </c>
      <c r="F225" s="141"/>
      <c r="G225" s="133">
        <f>+SUM('12:25'!G225)</f>
        <v>0</v>
      </c>
      <c r="H225" s="133">
        <f>+SUM('12:25'!H225)</f>
        <v>0</v>
      </c>
      <c r="I225" s="133">
        <f>+SUM('12:25'!I225)</f>
        <v>0</v>
      </c>
      <c r="J225" s="133">
        <f>+SUM('12:25'!J225)</f>
        <v>0</v>
      </c>
      <c r="K225" s="137">
        <f t="shared" si="37"/>
        <v>0</v>
      </c>
      <c r="L225" s="137">
        <f t="shared" si="38"/>
        <v>0</v>
      </c>
      <c r="M225" s="137">
        <v>212.4</v>
      </c>
      <c r="N225" s="137">
        <f>+M225*1000/(15.4*10*17*60)*T225</f>
        <v>8.1130634071810537</v>
      </c>
      <c r="O225" s="133">
        <f>+SUM('12:25'!O225)</f>
        <v>0</v>
      </c>
      <c r="P225" s="137">
        <f t="shared" si="40"/>
        <v>0</v>
      </c>
      <c r="Q225" s="133">
        <f>+SUM('12:25'!Q225)</f>
        <v>0</v>
      </c>
      <c r="R225" s="19">
        <f t="shared" si="41"/>
        <v>0</v>
      </c>
      <c r="S225" s="137">
        <f t="shared" si="42"/>
        <v>0</v>
      </c>
      <c r="T225" s="20">
        <v>6</v>
      </c>
      <c r="U225" s="133">
        <f>+SUM('12:25'!U225)</f>
        <v>0</v>
      </c>
      <c r="V225" s="143" t="str">
        <f t="array" ref="V225">IF(ISERROR(L225/K225),"",L225/K225)</f>
        <v/>
      </c>
      <c r="W225" s="133">
        <f>+SUM('12:25'!W225)</f>
        <v>0</v>
      </c>
      <c r="X225" s="133">
        <f>+SUM('12:25'!X225)</f>
        <v>0</v>
      </c>
      <c r="Y225" s="133">
        <f>+SUM('12:25'!Y225)</f>
        <v>0</v>
      </c>
      <c r="Z225" s="133">
        <f>+SUM('12:25'!Z225)</f>
        <v>0</v>
      </c>
      <c r="AA225" s="133">
        <f>+SUM('12:25'!AA225)</f>
        <v>0</v>
      </c>
      <c r="AB225" s="133">
        <f>+SUM('12:25'!AB225)</f>
        <v>0</v>
      </c>
      <c r="AC225" s="133">
        <f>+SUM('12:25'!AC225)</f>
        <v>0</v>
      </c>
      <c r="AD225" s="1">
        <f t="shared" si="43"/>
        <v>0</v>
      </c>
      <c r="AE225" s="188">
        <v>298.94</v>
      </c>
      <c r="AF225" s="1">
        <f t="shared" si="44"/>
        <v>0</v>
      </c>
    </row>
    <row r="226" spans="1:32" s="2" customFormat="1" ht="21.95" customHeight="1">
      <c r="A226" s="135">
        <v>300203</v>
      </c>
      <c r="B226" s="135" t="s">
        <v>43</v>
      </c>
      <c r="C226" s="237" t="s">
        <v>44</v>
      </c>
      <c r="D226" s="238"/>
      <c r="E226" s="135" t="s">
        <v>41</v>
      </c>
      <c r="F226" s="141"/>
      <c r="G226" s="133">
        <f>+SUM('12:25'!G226)</f>
        <v>0</v>
      </c>
      <c r="H226" s="133">
        <f>+SUM('12:25'!H226)</f>
        <v>0</v>
      </c>
      <c r="I226" s="133">
        <f>+SUM('12:25'!I226)</f>
        <v>0</v>
      </c>
      <c r="J226" s="133">
        <f>+SUM('12:25'!J226)</f>
        <v>0</v>
      </c>
      <c r="K226" s="137">
        <f t="shared" si="37"/>
        <v>0</v>
      </c>
      <c r="L226" s="137">
        <f t="shared" si="38"/>
        <v>0</v>
      </c>
      <c r="M226" s="137">
        <v>212.4</v>
      </c>
      <c r="N226" s="137">
        <f>+M226*1000/(15.4*10*17*60)*T226</f>
        <v>4.0565317035905268</v>
      </c>
      <c r="O226" s="133">
        <f>+SUM('12:25'!O226)</f>
        <v>0</v>
      </c>
      <c r="P226" s="137">
        <f t="shared" si="40"/>
        <v>0</v>
      </c>
      <c r="Q226" s="133">
        <f>+SUM('12:25'!Q226)</f>
        <v>0</v>
      </c>
      <c r="R226" s="19">
        <f t="shared" si="41"/>
        <v>0</v>
      </c>
      <c r="S226" s="137">
        <f t="shared" si="42"/>
        <v>0</v>
      </c>
      <c r="T226" s="20">
        <v>3</v>
      </c>
      <c r="U226" s="133">
        <f>+SUM('12:25'!U226)</f>
        <v>0</v>
      </c>
      <c r="V226" s="143" t="str">
        <f t="array" ref="V226">IF(ISERROR(L226/K226),"",L226/K226)</f>
        <v/>
      </c>
      <c r="W226" s="133">
        <f>+SUM('12:25'!W226)</f>
        <v>0</v>
      </c>
      <c r="X226" s="133">
        <f>+SUM('12:25'!X226)</f>
        <v>0</v>
      </c>
      <c r="Y226" s="133">
        <f>+SUM('12:25'!Y226)</f>
        <v>0</v>
      </c>
      <c r="Z226" s="133">
        <f>+SUM('12:25'!Z226)</f>
        <v>0</v>
      </c>
      <c r="AA226" s="133">
        <f>+SUM('12:25'!AA226)</f>
        <v>0</v>
      </c>
      <c r="AB226" s="133">
        <f>+SUM('12:25'!AB226)</f>
        <v>0</v>
      </c>
      <c r="AC226" s="133">
        <f>+SUM('12:25'!AC226)</f>
        <v>0</v>
      </c>
      <c r="AD226" s="1">
        <f t="shared" si="43"/>
        <v>0</v>
      </c>
      <c r="AE226" s="188">
        <v>298.94</v>
      </c>
      <c r="AF226" s="1">
        <f t="shared" si="44"/>
        <v>0</v>
      </c>
    </row>
    <row r="227" spans="1:32" s="2" customFormat="1" ht="21.95" customHeight="1">
      <c r="A227" s="135">
        <v>300204</v>
      </c>
      <c r="B227" s="135" t="s">
        <v>43</v>
      </c>
      <c r="C227" s="237" t="s">
        <v>44</v>
      </c>
      <c r="D227" s="238"/>
      <c r="E227" s="135" t="s">
        <v>37</v>
      </c>
      <c r="F227" s="141"/>
      <c r="G227" s="133">
        <f>+SUM('12:25'!G227)</f>
        <v>0</v>
      </c>
      <c r="H227" s="133">
        <f>+SUM('12:25'!H227)</f>
        <v>0</v>
      </c>
      <c r="I227" s="133">
        <f>+SUM('12:25'!I227)</f>
        <v>0</v>
      </c>
      <c r="J227" s="133">
        <f>+SUM('12:25'!J227)</f>
        <v>0</v>
      </c>
      <c r="K227" s="137">
        <f t="shared" si="37"/>
        <v>0</v>
      </c>
      <c r="L227" s="137">
        <f t="shared" si="38"/>
        <v>0</v>
      </c>
      <c r="M227" s="137">
        <v>212.4</v>
      </c>
      <c r="N227" s="137">
        <f>+M227*1000/(15.4*10*17*60)*T227</f>
        <v>4.0565317035905268</v>
      </c>
      <c r="O227" s="133">
        <f>+SUM('12:25'!O227)</f>
        <v>0</v>
      </c>
      <c r="P227" s="137">
        <f t="shared" si="40"/>
        <v>0</v>
      </c>
      <c r="Q227" s="133">
        <f>+SUM('12:25'!Q227)</f>
        <v>0</v>
      </c>
      <c r="R227" s="19">
        <f t="shared" si="41"/>
        <v>0</v>
      </c>
      <c r="S227" s="137">
        <f t="shared" si="42"/>
        <v>0</v>
      </c>
      <c r="T227" s="20">
        <v>3</v>
      </c>
      <c r="U227" s="133">
        <f>+SUM('12:25'!U227)</f>
        <v>0</v>
      </c>
      <c r="V227" s="143" t="str">
        <f t="array" ref="V227">IF(ISERROR(L227/K227),"",L227/K227)</f>
        <v/>
      </c>
      <c r="W227" s="133">
        <f>+SUM('12:25'!W227)</f>
        <v>0</v>
      </c>
      <c r="X227" s="133">
        <f>+SUM('12:25'!X227)</f>
        <v>0</v>
      </c>
      <c r="Y227" s="133">
        <f>+SUM('12:25'!Y227)</f>
        <v>0</v>
      </c>
      <c r="Z227" s="133">
        <f>+SUM('12:25'!Z227)</f>
        <v>0</v>
      </c>
      <c r="AA227" s="133">
        <f>+SUM('12:25'!AA227)</f>
        <v>0</v>
      </c>
      <c r="AB227" s="133">
        <f>+SUM('12:25'!AB227)</f>
        <v>0</v>
      </c>
      <c r="AC227" s="133">
        <f>+SUM('12:25'!AC227)</f>
        <v>0</v>
      </c>
      <c r="AD227" s="1">
        <f t="shared" si="43"/>
        <v>0</v>
      </c>
      <c r="AE227" s="52"/>
      <c r="AF227" s="1">
        <f t="shared" si="44"/>
        <v>0</v>
      </c>
    </row>
    <row r="228" spans="1:32" s="2" customFormat="1" ht="21.95" customHeight="1">
      <c r="A228" s="140">
        <v>300269</v>
      </c>
      <c r="B228" s="135" t="s">
        <v>43</v>
      </c>
      <c r="C228" s="226" t="s">
        <v>45</v>
      </c>
      <c r="D228" s="226"/>
      <c r="E228" s="139"/>
      <c r="F228" s="141"/>
      <c r="G228" s="133">
        <f>+SUM('12:25'!G228)</f>
        <v>0</v>
      </c>
      <c r="H228" s="133">
        <f>+SUM('12:25'!H228)</f>
        <v>0</v>
      </c>
      <c r="I228" s="133">
        <f>+SUM('12:25'!I228)</f>
        <v>0</v>
      </c>
      <c r="J228" s="133">
        <f>+SUM('12:25'!J228)</f>
        <v>0</v>
      </c>
      <c r="K228" s="137">
        <f t="shared" si="37"/>
        <v>0</v>
      </c>
      <c r="L228" s="137">
        <f t="shared" si="38"/>
        <v>0</v>
      </c>
      <c r="M228" s="137">
        <v>209.4</v>
      </c>
      <c r="N228" s="137">
        <f>+M228*1000/(19.4*10*16*60)*T228</f>
        <v>3.3730670103092786</v>
      </c>
      <c r="O228" s="133">
        <f>+SUM('12:25'!O228)</f>
        <v>0</v>
      </c>
      <c r="P228" s="137">
        <f t="shared" si="40"/>
        <v>0</v>
      </c>
      <c r="Q228" s="133">
        <f>+SUM('12:25'!Q228)</f>
        <v>0</v>
      </c>
      <c r="R228" s="19">
        <f t="shared" si="41"/>
        <v>0</v>
      </c>
      <c r="S228" s="137">
        <f t="shared" si="42"/>
        <v>0</v>
      </c>
      <c r="T228" s="20">
        <v>3</v>
      </c>
      <c r="U228" s="133">
        <f>+SUM('12:25'!U228)</f>
        <v>0</v>
      </c>
      <c r="V228" s="143" t="str">
        <f t="array" ref="V228">IF(ISERROR(L228/K228),"",L228/K228)</f>
        <v/>
      </c>
      <c r="W228" s="133">
        <f>+SUM('12:25'!W228)</f>
        <v>0</v>
      </c>
      <c r="X228" s="133">
        <f>+SUM('12:25'!X228)</f>
        <v>0</v>
      </c>
      <c r="Y228" s="133">
        <f>+SUM('12:25'!Y228)</f>
        <v>0</v>
      </c>
      <c r="Z228" s="133">
        <f>+SUM('12:25'!Z228)</f>
        <v>0</v>
      </c>
      <c r="AA228" s="133">
        <f>+SUM('12:25'!AA228)</f>
        <v>0</v>
      </c>
      <c r="AB228" s="133">
        <f>+SUM('12:25'!AB228)</f>
        <v>0</v>
      </c>
      <c r="AC228" s="133">
        <f>+SUM('12:25'!AC228)</f>
        <v>0</v>
      </c>
      <c r="AD228" s="1">
        <f t="shared" si="43"/>
        <v>0</v>
      </c>
      <c r="AE228" s="52"/>
      <c r="AF228" s="1">
        <f t="shared" si="44"/>
        <v>0</v>
      </c>
    </row>
    <row r="229" spans="1:32" s="2" customFormat="1" ht="21.95" customHeight="1">
      <c r="A229" s="140"/>
      <c r="B229" s="135"/>
      <c r="C229" s="226" t="s">
        <v>46</v>
      </c>
      <c r="D229" s="226"/>
      <c r="E229" s="139" t="s">
        <v>47</v>
      </c>
      <c r="F229" s="141"/>
      <c r="G229" s="133">
        <f>+SUM('12:25'!G229)</f>
        <v>0</v>
      </c>
      <c r="H229" s="133">
        <f>+SUM('12:25'!H229)</f>
        <v>0</v>
      </c>
      <c r="I229" s="133">
        <f>+SUM('12:25'!I229)</f>
        <v>0</v>
      </c>
      <c r="J229" s="133">
        <f>+SUM('12:25'!J229)</f>
        <v>0</v>
      </c>
      <c r="K229" s="137">
        <f t="shared" si="37"/>
        <v>0</v>
      </c>
      <c r="L229" s="137">
        <f t="shared" si="38"/>
        <v>0</v>
      </c>
      <c r="M229" s="137">
        <v>209.9</v>
      </c>
      <c r="N229" s="137">
        <f>+M229*1000/(19*10*16*60)*T229</f>
        <v>3.4523026315789478</v>
      </c>
      <c r="O229" s="133">
        <f>+SUM('12:25'!O229)</f>
        <v>0</v>
      </c>
      <c r="P229" s="137">
        <f t="shared" si="40"/>
        <v>0</v>
      </c>
      <c r="Q229" s="133">
        <f>+SUM('12:25'!Q229)</f>
        <v>0</v>
      </c>
      <c r="R229" s="19">
        <f t="shared" si="41"/>
        <v>0</v>
      </c>
      <c r="S229" s="137">
        <f t="shared" si="42"/>
        <v>0</v>
      </c>
      <c r="T229" s="20">
        <v>3</v>
      </c>
      <c r="U229" s="133">
        <f>+SUM('12:25'!U229)</f>
        <v>0</v>
      </c>
      <c r="V229" s="143" t="str">
        <f t="array" ref="V229">IF(ISERROR(L229/K229),"",L229/K229)</f>
        <v/>
      </c>
      <c r="W229" s="133">
        <f>+SUM('12:25'!W229)</f>
        <v>0</v>
      </c>
      <c r="X229" s="133">
        <f>+SUM('12:25'!X229)</f>
        <v>0</v>
      </c>
      <c r="Y229" s="133">
        <f>+SUM('12:25'!Y229)</f>
        <v>0</v>
      </c>
      <c r="Z229" s="133">
        <f>+SUM('12:25'!Z229)</f>
        <v>0</v>
      </c>
      <c r="AA229" s="133">
        <f>+SUM('12:25'!AA229)</f>
        <v>0</v>
      </c>
      <c r="AB229" s="133">
        <f>+SUM('12:25'!AB229)</f>
        <v>0</v>
      </c>
      <c r="AC229" s="133">
        <f>+SUM('12:25'!AC229)</f>
        <v>0</v>
      </c>
      <c r="AD229" s="1">
        <f t="shared" si="43"/>
        <v>0</v>
      </c>
      <c r="AE229" s="52"/>
      <c r="AF229" s="1">
        <f t="shared" si="44"/>
        <v>0</v>
      </c>
    </row>
    <row r="230" spans="1:32" s="2" customFormat="1" ht="21.95" customHeight="1">
      <c r="A230" s="140">
        <v>300350</v>
      </c>
      <c r="B230" s="135" t="s">
        <v>43</v>
      </c>
      <c r="C230" s="226" t="s">
        <v>48</v>
      </c>
      <c r="D230" s="226"/>
      <c r="E230" s="139" t="s">
        <v>49</v>
      </c>
      <c r="F230" s="141"/>
      <c r="G230" s="133">
        <f>+SUM('12:25'!G230)</f>
        <v>0</v>
      </c>
      <c r="H230" s="133">
        <f>+SUM('12:25'!H230)</f>
        <v>0</v>
      </c>
      <c r="I230" s="133">
        <f>+SUM('12:25'!I230)</f>
        <v>0</v>
      </c>
      <c r="J230" s="133">
        <f>+SUM('12:25'!J230)</f>
        <v>0</v>
      </c>
      <c r="K230" s="137">
        <f t="shared" si="37"/>
        <v>0</v>
      </c>
      <c r="L230" s="137">
        <f t="shared" si="38"/>
        <v>0</v>
      </c>
      <c r="M230" s="137">
        <v>209.9</v>
      </c>
      <c r="N230" s="137">
        <f>+M230*1000/(19*10*16*60)*T230</f>
        <v>2.3015350877192984</v>
      </c>
      <c r="O230" s="133">
        <f>+SUM('12:25'!O230)</f>
        <v>0</v>
      </c>
      <c r="P230" s="137">
        <f t="shared" si="40"/>
        <v>0</v>
      </c>
      <c r="Q230" s="133">
        <f>+SUM('12:25'!Q230)</f>
        <v>0</v>
      </c>
      <c r="R230" s="19">
        <f t="shared" si="41"/>
        <v>0</v>
      </c>
      <c r="S230" s="137">
        <f t="shared" si="42"/>
        <v>0</v>
      </c>
      <c r="T230" s="20">
        <v>2</v>
      </c>
      <c r="U230" s="133">
        <f>+SUM('12:25'!U230)</f>
        <v>0</v>
      </c>
      <c r="V230" s="143" t="str">
        <f t="array" ref="V230">IF(ISERROR(L230/K230),"",L230/K230)</f>
        <v/>
      </c>
      <c r="W230" s="133">
        <f>+SUM('12:25'!W230)</f>
        <v>0</v>
      </c>
      <c r="X230" s="133">
        <f>+SUM('12:25'!X230)</f>
        <v>0</v>
      </c>
      <c r="Y230" s="133">
        <f>+SUM('12:25'!Y230)</f>
        <v>0</v>
      </c>
      <c r="Z230" s="133">
        <f>+SUM('12:25'!Z230)</f>
        <v>0</v>
      </c>
      <c r="AA230" s="133">
        <f>+SUM('12:25'!AA230)</f>
        <v>0</v>
      </c>
      <c r="AB230" s="133">
        <f>+SUM('12:25'!AB230)</f>
        <v>0</v>
      </c>
      <c r="AC230" s="133">
        <f>+SUM('12:25'!AC230)</f>
        <v>0</v>
      </c>
      <c r="AD230" s="1">
        <f t="shared" si="43"/>
        <v>0</v>
      </c>
      <c r="AE230" s="52"/>
      <c r="AF230" s="1">
        <f t="shared" si="44"/>
        <v>0</v>
      </c>
    </row>
    <row r="231" spans="1:32" s="2" customFormat="1" ht="21.95" customHeight="1">
      <c r="A231" s="140">
        <v>300113</v>
      </c>
      <c r="B231" s="135" t="s">
        <v>43</v>
      </c>
      <c r="C231" s="226" t="s">
        <v>50</v>
      </c>
      <c r="D231" s="226"/>
      <c r="E231" s="139" t="s">
        <v>40</v>
      </c>
      <c r="F231" s="141"/>
      <c r="G231" s="133">
        <f>+SUM('12:25'!G231)</f>
        <v>0</v>
      </c>
      <c r="H231" s="133">
        <f>+SUM('12:25'!H231)</f>
        <v>0</v>
      </c>
      <c r="I231" s="133">
        <f>+SUM('12:25'!I231)</f>
        <v>0</v>
      </c>
      <c r="J231" s="133">
        <f>+SUM('12:25'!J231)</f>
        <v>0</v>
      </c>
      <c r="K231" s="137">
        <f t="shared" si="37"/>
        <v>0</v>
      </c>
      <c r="L231" s="137">
        <f t="shared" si="38"/>
        <v>0</v>
      </c>
      <c r="M231" s="137">
        <v>210</v>
      </c>
      <c r="N231" s="137">
        <f>M231*1000/(19.2*10*17*60)*T231</f>
        <v>2.1446078431372548</v>
      </c>
      <c r="O231" s="133">
        <f>+SUM('12:25'!O231)</f>
        <v>0</v>
      </c>
      <c r="P231" s="137">
        <f t="shared" si="40"/>
        <v>0</v>
      </c>
      <c r="Q231" s="133">
        <f>+SUM('12:25'!Q231)</f>
        <v>0</v>
      </c>
      <c r="R231" s="19">
        <f t="shared" si="41"/>
        <v>0</v>
      </c>
      <c r="S231" s="137">
        <f t="shared" si="42"/>
        <v>0</v>
      </c>
      <c r="T231" s="20">
        <v>2</v>
      </c>
      <c r="U231" s="133">
        <f>+SUM('12:25'!U231)</f>
        <v>0</v>
      </c>
      <c r="V231" s="143" t="str">
        <f t="array" ref="V231">IF(ISERROR(L231/K231),"",L231/K231)</f>
        <v/>
      </c>
      <c r="W231" s="133">
        <f>+SUM('12:25'!W231)</f>
        <v>0</v>
      </c>
      <c r="X231" s="133">
        <f>+SUM('12:25'!X231)</f>
        <v>0</v>
      </c>
      <c r="Y231" s="133">
        <f>+SUM('12:25'!Y231)</f>
        <v>0</v>
      </c>
      <c r="Z231" s="133">
        <f>+SUM('12:25'!Z231)</f>
        <v>0</v>
      </c>
      <c r="AA231" s="133">
        <f>+SUM('12:25'!AA231)</f>
        <v>0</v>
      </c>
      <c r="AB231" s="133">
        <f>+SUM('12:25'!AB231)</f>
        <v>0</v>
      </c>
      <c r="AC231" s="133">
        <f>+SUM('12:25'!AC231)</f>
        <v>0</v>
      </c>
      <c r="AD231" s="1">
        <f t="shared" si="43"/>
        <v>0</v>
      </c>
      <c r="AE231" s="52"/>
      <c r="AF231" s="1">
        <f t="shared" si="44"/>
        <v>0</v>
      </c>
    </row>
    <row r="232" spans="1:32" s="2" customFormat="1" ht="21.95" customHeight="1">
      <c r="A232" s="140">
        <v>300114</v>
      </c>
      <c r="B232" s="135" t="s">
        <v>43</v>
      </c>
      <c r="C232" s="226" t="s">
        <v>50</v>
      </c>
      <c r="D232" s="226"/>
      <c r="E232" s="139" t="s">
        <v>42</v>
      </c>
      <c r="F232" s="141"/>
      <c r="G232" s="133">
        <f>+SUM('12:25'!G232)</f>
        <v>0</v>
      </c>
      <c r="H232" s="133">
        <f>+SUM('12:25'!H232)</f>
        <v>0</v>
      </c>
      <c r="I232" s="133">
        <f>+SUM('12:25'!I232)</f>
        <v>0</v>
      </c>
      <c r="J232" s="133">
        <f>+SUM('12:25'!J232)</f>
        <v>0</v>
      </c>
      <c r="K232" s="137">
        <f t="shared" si="37"/>
        <v>0</v>
      </c>
      <c r="L232" s="137">
        <f t="shared" si="38"/>
        <v>0</v>
      </c>
      <c r="M232" s="137">
        <v>210</v>
      </c>
      <c r="N232" s="137">
        <f>M232*1000/(19.2*10*17*60)*T232</f>
        <v>2.1446078431372548</v>
      </c>
      <c r="O232" s="133">
        <f>+SUM('12:25'!O232)</f>
        <v>0</v>
      </c>
      <c r="P232" s="137">
        <f t="shared" si="40"/>
        <v>0</v>
      </c>
      <c r="Q232" s="133">
        <f>+SUM('12:25'!Q232)</f>
        <v>0</v>
      </c>
      <c r="R232" s="19">
        <f t="shared" si="41"/>
        <v>0</v>
      </c>
      <c r="S232" s="137">
        <f t="shared" si="42"/>
        <v>0</v>
      </c>
      <c r="T232" s="20">
        <v>2</v>
      </c>
      <c r="U232" s="133">
        <f>+SUM('12:25'!U232)</f>
        <v>0</v>
      </c>
      <c r="V232" s="143" t="str">
        <f t="array" ref="V232">IF(ISERROR(L232/K232),"",L232/K232)</f>
        <v/>
      </c>
      <c r="W232" s="133">
        <f>+SUM('12:25'!W232)</f>
        <v>0</v>
      </c>
      <c r="X232" s="133">
        <f>+SUM('12:25'!X232)</f>
        <v>0</v>
      </c>
      <c r="Y232" s="133">
        <f>+SUM('12:25'!Y232)</f>
        <v>0</v>
      </c>
      <c r="Z232" s="133">
        <f>+SUM('12:25'!Z232)</f>
        <v>0</v>
      </c>
      <c r="AA232" s="133">
        <f>+SUM('12:25'!AA232)</f>
        <v>0</v>
      </c>
      <c r="AB232" s="133">
        <f>+SUM('12:25'!AB232)</f>
        <v>0</v>
      </c>
      <c r="AC232" s="133">
        <f>+SUM('12:25'!AC232)</f>
        <v>0</v>
      </c>
      <c r="AD232" s="1">
        <f t="shared" si="43"/>
        <v>0</v>
      </c>
      <c r="AE232" s="52"/>
      <c r="AF232" s="1">
        <f t="shared" si="44"/>
        <v>0</v>
      </c>
    </row>
    <row r="233" spans="1:32" s="2" customFormat="1" ht="21.95" customHeight="1">
      <c r="A233" s="140">
        <v>300115</v>
      </c>
      <c r="B233" s="135" t="s">
        <v>43</v>
      </c>
      <c r="C233" s="226" t="s">
        <v>50</v>
      </c>
      <c r="D233" s="226"/>
      <c r="E233" s="139" t="s">
        <v>41</v>
      </c>
      <c r="F233" s="141"/>
      <c r="G233" s="133">
        <f>+SUM('12:25'!G233)</f>
        <v>0</v>
      </c>
      <c r="H233" s="133">
        <f>+SUM('12:25'!H233)</f>
        <v>0</v>
      </c>
      <c r="I233" s="133">
        <f>+SUM('12:25'!I233)</f>
        <v>0</v>
      </c>
      <c r="J233" s="133">
        <f>+SUM('12:25'!J233)</f>
        <v>0</v>
      </c>
      <c r="K233" s="137">
        <f t="shared" si="37"/>
        <v>0</v>
      </c>
      <c r="L233" s="137">
        <f t="shared" si="38"/>
        <v>0</v>
      </c>
      <c r="M233" s="137">
        <v>210</v>
      </c>
      <c r="N233" s="137">
        <f>M233*1000/(19.2*10*17*60)*T233</f>
        <v>2.1446078431372548</v>
      </c>
      <c r="O233" s="133">
        <f>+SUM('12:25'!O233)</f>
        <v>0</v>
      </c>
      <c r="P233" s="137">
        <f t="shared" si="40"/>
        <v>0</v>
      </c>
      <c r="Q233" s="133">
        <f>+SUM('12:25'!Q233)</f>
        <v>0</v>
      </c>
      <c r="R233" s="19">
        <f t="shared" si="41"/>
        <v>0</v>
      </c>
      <c r="S233" s="137">
        <f t="shared" si="42"/>
        <v>0</v>
      </c>
      <c r="T233" s="20">
        <v>2</v>
      </c>
      <c r="U233" s="133">
        <f>+SUM('12:25'!U233)</f>
        <v>0</v>
      </c>
      <c r="V233" s="143" t="str">
        <f t="array" ref="V233">IF(ISERROR(L233/K233),"",L233/K233)</f>
        <v/>
      </c>
      <c r="W233" s="133">
        <f>+SUM('12:25'!W233)</f>
        <v>0</v>
      </c>
      <c r="X233" s="133">
        <f>+SUM('12:25'!X233)</f>
        <v>0</v>
      </c>
      <c r="Y233" s="133">
        <f>+SUM('12:25'!Y233)</f>
        <v>0</v>
      </c>
      <c r="Z233" s="133">
        <f>+SUM('12:25'!Z233)</f>
        <v>0</v>
      </c>
      <c r="AA233" s="133">
        <f>+SUM('12:25'!AA233)</f>
        <v>0</v>
      </c>
      <c r="AB233" s="133">
        <f>+SUM('12:25'!AB233)</f>
        <v>0</v>
      </c>
      <c r="AC233" s="133">
        <f>+SUM('12:25'!AC233)</f>
        <v>0</v>
      </c>
      <c r="AD233" s="1">
        <f t="shared" si="43"/>
        <v>0</v>
      </c>
      <c r="AE233" s="52"/>
      <c r="AF233" s="1">
        <f t="shared" si="44"/>
        <v>0</v>
      </c>
    </row>
    <row r="234" spans="1:32" s="2" customFormat="1" ht="21.95" customHeight="1">
      <c r="A234" s="140">
        <v>300011</v>
      </c>
      <c r="B234" s="135" t="s">
        <v>43</v>
      </c>
      <c r="C234" s="226" t="s">
        <v>51</v>
      </c>
      <c r="D234" s="226"/>
      <c r="E234" s="139" t="s">
        <v>40</v>
      </c>
      <c r="F234" s="141"/>
      <c r="G234" s="133">
        <f>+SUM('12:25'!G234)</f>
        <v>4</v>
      </c>
      <c r="H234" s="133">
        <f>+SUM('12:25'!H234)</f>
        <v>0</v>
      </c>
      <c r="I234" s="133">
        <f>+SUM('12:25'!I234)</f>
        <v>4</v>
      </c>
      <c r="J234" s="133">
        <f>+SUM('12:25'!J234)</f>
        <v>0</v>
      </c>
      <c r="K234" s="137">
        <f t="shared" si="37"/>
        <v>2098.4</v>
      </c>
      <c r="L234" s="137">
        <f t="shared" si="38"/>
        <v>2098.4</v>
      </c>
      <c r="M234" s="137">
        <v>524.6</v>
      </c>
      <c r="N234" s="137">
        <f>+M234*1000/(25.4*20*15*60)*T234</f>
        <v>3.4422572178477688</v>
      </c>
      <c r="O234" s="133">
        <f>+SUM('12:25'!O234)</f>
        <v>0</v>
      </c>
      <c r="P234" s="137">
        <f t="shared" si="40"/>
        <v>13.769028871391075</v>
      </c>
      <c r="Q234" s="133">
        <f>+SUM('12:25'!Q234)</f>
        <v>4</v>
      </c>
      <c r="R234" s="19">
        <f t="shared" si="41"/>
        <v>12</v>
      </c>
      <c r="S234" s="137">
        <f t="shared" si="42"/>
        <v>-1.7690288713910753</v>
      </c>
      <c r="T234" s="20">
        <v>3</v>
      </c>
      <c r="U234" s="133">
        <f>+SUM('12:25'!U234)</f>
        <v>3</v>
      </c>
      <c r="V234" s="143">
        <f t="array" ref="V234">IF(ISERROR(L234/K234),"",L234/K234)</f>
        <v>1</v>
      </c>
      <c r="W234" s="133">
        <f>+SUM('12:25'!W234)</f>
        <v>0</v>
      </c>
      <c r="X234" s="133">
        <f>+SUM('12:25'!X234)</f>
        <v>0</v>
      </c>
      <c r="Y234" s="133">
        <f>+SUM('12:25'!Y234)</f>
        <v>0</v>
      </c>
      <c r="Z234" s="133">
        <f>+SUM('12:25'!Z234)</f>
        <v>0</v>
      </c>
      <c r="AA234" s="133">
        <f>+SUM('12:25'!AA234)</f>
        <v>0</v>
      </c>
      <c r="AB234" s="133">
        <f>+SUM('12:25'!AB234)</f>
        <v>0</v>
      </c>
      <c r="AC234" s="133">
        <f>+SUM('12:25'!AC234)</f>
        <v>0</v>
      </c>
      <c r="AD234" s="1">
        <f t="shared" si="43"/>
        <v>2.0984000000000003</v>
      </c>
      <c r="AE234" s="52">
        <v>118.03</v>
      </c>
      <c r="AF234" s="1">
        <f t="shared" si="44"/>
        <v>247.67415200000002</v>
      </c>
    </row>
    <row r="235" spans="1:32" s="2" customFormat="1" ht="21.95" customHeight="1">
      <c r="A235" s="140">
        <v>300012</v>
      </c>
      <c r="B235" s="135" t="s">
        <v>43</v>
      </c>
      <c r="C235" s="226" t="s">
        <v>51</v>
      </c>
      <c r="D235" s="226"/>
      <c r="E235" s="139" t="s">
        <v>41</v>
      </c>
      <c r="F235" s="141"/>
      <c r="G235" s="133">
        <f>+SUM('12:25'!G235)</f>
        <v>0</v>
      </c>
      <c r="H235" s="133">
        <f>+SUM('12:25'!H235)</f>
        <v>0</v>
      </c>
      <c r="I235" s="133">
        <f>+SUM('12:25'!I235)</f>
        <v>0</v>
      </c>
      <c r="J235" s="133">
        <f>+SUM('12:25'!J235)</f>
        <v>0</v>
      </c>
      <c r="K235" s="137">
        <f t="shared" si="37"/>
        <v>0</v>
      </c>
      <c r="L235" s="137">
        <f t="shared" si="38"/>
        <v>0</v>
      </c>
      <c r="M235" s="137">
        <v>524.6</v>
      </c>
      <c r="N235" s="137">
        <f>+M235*1000/(25.4*20*15*60)*T235</f>
        <v>3.4422572178477688</v>
      </c>
      <c r="O235" s="133">
        <f>+SUM('12:25'!O235)</f>
        <v>0</v>
      </c>
      <c r="P235" s="137">
        <f t="shared" si="40"/>
        <v>0</v>
      </c>
      <c r="Q235" s="133">
        <f>+SUM('12:25'!Q235)</f>
        <v>0</v>
      </c>
      <c r="R235" s="19">
        <f t="shared" si="41"/>
        <v>0</v>
      </c>
      <c r="S235" s="137">
        <f t="shared" si="42"/>
        <v>0</v>
      </c>
      <c r="T235" s="20">
        <v>3</v>
      </c>
      <c r="U235" s="133">
        <f>+SUM('12:25'!U235)</f>
        <v>0</v>
      </c>
      <c r="V235" s="143" t="str">
        <f t="array" ref="V235">IF(ISERROR(L235/K235),"",L235/K235)</f>
        <v/>
      </c>
      <c r="W235" s="133">
        <f>+SUM('12:25'!W235)</f>
        <v>0</v>
      </c>
      <c r="X235" s="133">
        <f>+SUM('12:25'!X235)</f>
        <v>0</v>
      </c>
      <c r="Y235" s="133">
        <f>+SUM('12:25'!Y235)</f>
        <v>0</v>
      </c>
      <c r="Z235" s="133">
        <f>+SUM('12:25'!Z235)</f>
        <v>0</v>
      </c>
      <c r="AA235" s="133">
        <f>+SUM('12:25'!AA235)</f>
        <v>0</v>
      </c>
      <c r="AB235" s="133">
        <f>+SUM('12:25'!AB235)</f>
        <v>0</v>
      </c>
      <c r="AC235" s="133">
        <f>+SUM('12:25'!AC235)</f>
        <v>0</v>
      </c>
      <c r="AD235" s="1">
        <f t="shared" si="43"/>
        <v>0</v>
      </c>
      <c r="AE235" s="52">
        <v>118.03</v>
      </c>
      <c r="AF235" s="1">
        <f t="shared" si="44"/>
        <v>0</v>
      </c>
    </row>
    <row r="236" spans="1:32" s="2" customFormat="1" ht="21.95" customHeight="1">
      <c r="A236" s="140">
        <v>300013</v>
      </c>
      <c r="B236" s="135" t="s">
        <v>221</v>
      </c>
      <c r="C236" s="226" t="s">
        <v>51</v>
      </c>
      <c r="D236" s="226"/>
      <c r="E236" s="139" t="s">
        <v>42</v>
      </c>
      <c r="F236" s="141"/>
      <c r="G236" s="133">
        <f>+SUM('12:25'!G236)</f>
        <v>4</v>
      </c>
      <c r="H236" s="133">
        <f>+SUM('12:25'!H236)</f>
        <v>0</v>
      </c>
      <c r="I236" s="133">
        <f>+SUM('12:25'!I236)</f>
        <v>4</v>
      </c>
      <c r="J236" s="133">
        <f>+SUM('12:25'!J236)</f>
        <v>0</v>
      </c>
      <c r="K236" s="137">
        <f t="shared" si="37"/>
        <v>2098.4</v>
      </c>
      <c r="L236" s="137">
        <f t="shared" si="38"/>
        <v>2098.4</v>
      </c>
      <c r="M236" s="137">
        <v>524.6</v>
      </c>
      <c r="N236" s="137">
        <f>+M236*1000/(25.4*20*15*60)*T236</f>
        <v>3.4422572178477688</v>
      </c>
      <c r="O236" s="133">
        <f>+SUM('12:25'!O236)</f>
        <v>0.5</v>
      </c>
      <c r="P236" s="137">
        <f t="shared" si="40"/>
        <v>15.269028871391075</v>
      </c>
      <c r="Q236" s="133">
        <f>+SUM('12:25'!Q236)</f>
        <v>4</v>
      </c>
      <c r="R236" s="19">
        <f t="shared" si="41"/>
        <v>12</v>
      </c>
      <c r="S236" s="137">
        <f t="shared" si="42"/>
        <v>-3.2690288713910753</v>
      </c>
      <c r="T236" s="20">
        <v>3</v>
      </c>
      <c r="U236" s="133">
        <f>+SUM('12:25'!U236)</f>
        <v>3</v>
      </c>
      <c r="V236" s="143">
        <f t="array" ref="V236">IF(ISERROR(L236/K236),"",L236/K236)</f>
        <v>1</v>
      </c>
      <c r="W236" s="133">
        <f>+SUM('12:25'!W236)</f>
        <v>0</v>
      </c>
      <c r="X236" s="133">
        <f>+SUM('12:25'!X236)</f>
        <v>0</v>
      </c>
      <c r="Y236" s="133">
        <f>+SUM('12:25'!Y236)</f>
        <v>0</v>
      </c>
      <c r="Z236" s="133">
        <f>+SUM('12:25'!Z236)</f>
        <v>0</v>
      </c>
      <c r="AA236" s="133">
        <f>+SUM('12:25'!AA236)</f>
        <v>3.5</v>
      </c>
      <c r="AB236" s="133">
        <f>+SUM('12:25'!AB236)</f>
        <v>0</v>
      </c>
      <c r="AC236" s="133">
        <f>+SUM('12:25'!AC236)</f>
        <v>0</v>
      </c>
      <c r="AD236" s="1">
        <f t="shared" si="43"/>
        <v>2.0984000000000003</v>
      </c>
      <c r="AE236" s="52">
        <v>118.03</v>
      </c>
      <c r="AF236" s="1">
        <f t="shared" si="44"/>
        <v>247.67415200000002</v>
      </c>
    </row>
    <row r="237" spans="1:32" s="2" customFormat="1" ht="21.95" customHeight="1">
      <c r="A237" s="140">
        <v>300016</v>
      </c>
      <c r="B237" s="135" t="s">
        <v>43</v>
      </c>
      <c r="C237" s="226" t="s">
        <v>51</v>
      </c>
      <c r="D237" s="226"/>
      <c r="E237" s="139" t="s">
        <v>38</v>
      </c>
      <c r="F237" s="141"/>
      <c r="G237" s="133">
        <f>+SUM('12:25'!G237)</f>
        <v>0</v>
      </c>
      <c r="H237" s="133">
        <f>+SUM('12:25'!H237)</f>
        <v>0</v>
      </c>
      <c r="I237" s="133">
        <f>+SUM('12:25'!I237)</f>
        <v>0</v>
      </c>
      <c r="J237" s="133">
        <f>+SUM('12:25'!J237)</f>
        <v>0</v>
      </c>
      <c r="K237" s="137">
        <f t="shared" si="37"/>
        <v>0</v>
      </c>
      <c r="L237" s="137">
        <f t="shared" si="38"/>
        <v>0</v>
      </c>
      <c r="M237" s="137">
        <v>524.6</v>
      </c>
      <c r="N237" s="137">
        <f>+M237*1000/(25.4*20*15*60)*T237</f>
        <v>3.4422572178477688</v>
      </c>
      <c r="O237" s="133">
        <f>+SUM('12:25'!O237)</f>
        <v>0</v>
      </c>
      <c r="P237" s="137">
        <f t="shared" si="40"/>
        <v>0</v>
      </c>
      <c r="Q237" s="133">
        <f>+SUM('12:25'!Q237)</f>
        <v>0</v>
      </c>
      <c r="R237" s="19">
        <f t="shared" si="41"/>
        <v>0</v>
      </c>
      <c r="S237" s="137">
        <f t="shared" si="42"/>
        <v>0</v>
      </c>
      <c r="T237" s="20">
        <v>3</v>
      </c>
      <c r="U237" s="133">
        <f>+SUM('12:25'!U237)</f>
        <v>0</v>
      </c>
      <c r="V237" s="143" t="str">
        <f t="array" ref="V237">IF(ISERROR(L237/K237),"",L237/K237)</f>
        <v/>
      </c>
      <c r="W237" s="133">
        <f>+SUM('12:25'!W237)</f>
        <v>0</v>
      </c>
      <c r="X237" s="133">
        <f>+SUM('12:25'!X237)</f>
        <v>0</v>
      </c>
      <c r="Y237" s="133">
        <f>+SUM('12:25'!Y237)</f>
        <v>0</v>
      </c>
      <c r="Z237" s="133">
        <f>+SUM('12:25'!Z237)</f>
        <v>0</v>
      </c>
      <c r="AA237" s="133">
        <f>+SUM('12:25'!AA237)</f>
        <v>0</v>
      </c>
      <c r="AB237" s="133">
        <f>+SUM('12:25'!AB237)</f>
        <v>0</v>
      </c>
      <c r="AC237" s="133">
        <f>+SUM('12:25'!AC237)</f>
        <v>0</v>
      </c>
      <c r="AD237" s="1">
        <f t="shared" si="43"/>
        <v>0</v>
      </c>
      <c r="AE237" s="52">
        <v>118.03</v>
      </c>
      <c r="AF237" s="1">
        <f t="shared" si="44"/>
        <v>0</v>
      </c>
    </row>
    <row r="238" spans="1:32" s="132" customFormat="1" ht="21" customHeight="1">
      <c r="A238" s="126">
        <v>3000435</v>
      </c>
      <c r="B238" s="147" t="s">
        <v>43</v>
      </c>
      <c r="C238" s="239" t="s">
        <v>51</v>
      </c>
      <c r="D238" s="239"/>
      <c r="E238" s="42" t="s">
        <v>309</v>
      </c>
      <c r="F238" s="127"/>
      <c r="G238" s="133">
        <f>+SUM('12:25'!G238)</f>
        <v>0</v>
      </c>
      <c r="H238" s="133">
        <f>+SUM('12:25'!H238)</f>
        <v>0</v>
      </c>
      <c r="I238" s="133">
        <f>+SUM('12:25'!I238)</f>
        <v>0</v>
      </c>
      <c r="J238" s="133">
        <f>+SUM('12:25'!J238)</f>
        <v>0</v>
      </c>
      <c r="K238" s="15">
        <f t="shared" si="37"/>
        <v>0</v>
      </c>
      <c r="L238" s="15">
        <f t="shared" si="38"/>
        <v>0</v>
      </c>
      <c r="M238" s="15">
        <v>524.6</v>
      </c>
      <c r="N238" s="15">
        <f>+M238*1000/(25.4*20*15*60)*T238</f>
        <v>3.4422572178477688</v>
      </c>
      <c r="O238" s="133">
        <f>+SUM('12:25'!O238)</f>
        <v>0</v>
      </c>
      <c r="P238" s="15">
        <f t="shared" si="40"/>
        <v>0</v>
      </c>
      <c r="Q238" s="133">
        <f>+SUM('12:25'!Q238)</f>
        <v>0</v>
      </c>
      <c r="R238" s="129">
        <f t="shared" si="41"/>
        <v>0</v>
      </c>
      <c r="S238" s="15">
        <f t="shared" si="42"/>
        <v>0</v>
      </c>
      <c r="T238" s="130">
        <v>3</v>
      </c>
      <c r="U238" s="133">
        <f>+SUM('12:25'!U238)</f>
        <v>0</v>
      </c>
      <c r="V238" s="131"/>
      <c r="W238" s="133">
        <f>+SUM('12:25'!W238)</f>
        <v>0</v>
      </c>
      <c r="X238" s="133">
        <f>+SUM('12:25'!X238)</f>
        <v>0</v>
      </c>
      <c r="Y238" s="133">
        <f>+SUM('12:25'!Y238)</f>
        <v>0</v>
      </c>
      <c r="Z238" s="133">
        <f>+SUM('12:25'!Z238)</f>
        <v>0</v>
      </c>
      <c r="AA238" s="133">
        <f>+SUM('12:25'!AA238)</f>
        <v>0</v>
      </c>
      <c r="AB238" s="133">
        <f>+SUM('12:25'!AB238)</f>
        <v>0</v>
      </c>
      <c r="AC238" s="133">
        <f>+SUM('12:25'!AC238)</f>
        <v>0</v>
      </c>
      <c r="AD238" s="1">
        <f t="shared" si="43"/>
        <v>0</v>
      </c>
      <c r="AE238" s="185">
        <v>118.03</v>
      </c>
      <c r="AF238" s="1">
        <f t="shared" si="44"/>
        <v>0</v>
      </c>
    </row>
    <row r="239" spans="1:32" ht="21.95" customHeight="1">
      <c r="A239" s="140">
        <v>300276</v>
      </c>
      <c r="B239" s="135" t="s">
        <v>43</v>
      </c>
      <c r="C239" s="226" t="s">
        <v>53</v>
      </c>
      <c r="D239" s="226"/>
      <c r="E239" s="139" t="s">
        <v>41</v>
      </c>
      <c r="F239" s="13"/>
      <c r="G239" s="133">
        <f>+SUM('12:25'!G239)</f>
        <v>0</v>
      </c>
      <c r="H239" s="133">
        <f>+SUM('12:25'!H239)</f>
        <v>0</v>
      </c>
      <c r="I239" s="133">
        <f>+SUM('12:25'!I239)</f>
        <v>0</v>
      </c>
      <c r="J239" s="133">
        <f>+SUM('12:25'!J239)</f>
        <v>0</v>
      </c>
      <c r="K239" s="137">
        <f t="shared" si="37"/>
        <v>0</v>
      </c>
      <c r="L239" s="137">
        <f t="shared" si="38"/>
        <v>0</v>
      </c>
      <c r="M239" s="15">
        <v>266</v>
      </c>
      <c r="N239" s="137">
        <f>+M239*1000/(29.8*10*13*60)*T239</f>
        <v>3.4331440371708828</v>
      </c>
      <c r="O239" s="133">
        <f>+SUM('12:25'!O239)</f>
        <v>0</v>
      </c>
      <c r="P239" s="137">
        <f t="shared" si="40"/>
        <v>0</v>
      </c>
      <c r="Q239" s="133">
        <f>+SUM('12:25'!Q239)</f>
        <v>0</v>
      </c>
      <c r="R239" s="19">
        <f t="shared" si="41"/>
        <v>0</v>
      </c>
      <c r="S239" s="137">
        <f t="shared" si="42"/>
        <v>0</v>
      </c>
      <c r="T239" s="20">
        <v>3</v>
      </c>
      <c r="U239" s="133">
        <f>+SUM('12:25'!U239)</f>
        <v>0</v>
      </c>
      <c r="V239" s="143" t="str">
        <f t="array" ref="V239">IF(ISERROR(L239/K239),"",L239/K239)</f>
        <v/>
      </c>
      <c r="W239" s="133">
        <f>+SUM('12:25'!W239)</f>
        <v>0</v>
      </c>
      <c r="X239" s="133">
        <f>+SUM('12:25'!X239)</f>
        <v>0</v>
      </c>
      <c r="Y239" s="133">
        <f>+SUM('12:25'!Y239)</f>
        <v>0</v>
      </c>
      <c r="Z239" s="133">
        <f>+SUM('12:25'!Z239)</f>
        <v>0</v>
      </c>
      <c r="AA239" s="133">
        <f>+SUM('12:25'!AA239)</f>
        <v>0</v>
      </c>
      <c r="AB239" s="133">
        <f>+SUM('12:25'!AB239)</f>
        <v>0</v>
      </c>
      <c r="AC239" s="133">
        <f>+SUM('12:25'!AC239)</f>
        <v>0</v>
      </c>
      <c r="AD239" s="1">
        <f t="shared" si="43"/>
        <v>0</v>
      </c>
      <c r="AE239" s="1">
        <v>288.89999999999998</v>
      </c>
      <c r="AF239" s="1">
        <f t="shared" si="44"/>
        <v>0</v>
      </c>
    </row>
    <row r="240" spans="1:32" ht="21.95" customHeight="1">
      <c r="A240" s="140">
        <v>300277</v>
      </c>
      <c r="B240" s="135" t="s">
        <v>43</v>
      </c>
      <c r="C240" s="226" t="s">
        <v>53</v>
      </c>
      <c r="D240" s="226"/>
      <c r="E240" s="139" t="s">
        <v>39</v>
      </c>
      <c r="F240" s="13"/>
      <c r="G240" s="133">
        <f>+SUM('12:25'!G240)</f>
        <v>0</v>
      </c>
      <c r="H240" s="133">
        <f>+SUM('12:25'!H240)</f>
        <v>0</v>
      </c>
      <c r="I240" s="133">
        <f>+SUM('12:25'!I240)</f>
        <v>0</v>
      </c>
      <c r="J240" s="133">
        <f>+SUM('12:25'!J240)</f>
        <v>0</v>
      </c>
      <c r="K240" s="137">
        <f t="shared" si="37"/>
        <v>0</v>
      </c>
      <c r="L240" s="137">
        <f t="shared" si="38"/>
        <v>0</v>
      </c>
      <c r="M240" s="15">
        <v>266</v>
      </c>
      <c r="N240" s="137">
        <f>+M240*1000/(29.8*10*13*60)*T240</f>
        <v>3.4331440371708828</v>
      </c>
      <c r="O240" s="133">
        <f>+SUM('12:25'!O240)</f>
        <v>0</v>
      </c>
      <c r="P240" s="137">
        <f t="shared" si="40"/>
        <v>0</v>
      </c>
      <c r="Q240" s="133">
        <f>+SUM('12:25'!Q240)</f>
        <v>0</v>
      </c>
      <c r="R240" s="19">
        <f t="shared" si="41"/>
        <v>0</v>
      </c>
      <c r="S240" s="137">
        <f t="shared" si="42"/>
        <v>0</v>
      </c>
      <c r="T240" s="20">
        <v>3</v>
      </c>
      <c r="U240" s="133">
        <f>+SUM('12:25'!U240)</f>
        <v>0</v>
      </c>
      <c r="V240" s="143" t="str">
        <f t="array" ref="V240">IF(ISERROR(L240/K240),"",L240/K240)</f>
        <v/>
      </c>
      <c r="W240" s="133">
        <f>+SUM('12:25'!W240)</f>
        <v>0</v>
      </c>
      <c r="X240" s="133">
        <f>+SUM('12:25'!X240)</f>
        <v>0</v>
      </c>
      <c r="Y240" s="133">
        <f>+SUM('12:25'!Y240)</f>
        <v>0</v>
      </c>
      <c r="Z240" s="133">
        <f>+SUM('12:25'!Z240)</f>
        <v>0</v>
      </c>
      <c r="AA240" s="133">
        <f>+SUM('12:25'!AA240)</f>
        <v>0</v>
      </c>
      <c r="AB240" s="133">
        <f>+SUM('12:25'!AB240)</f>
        <v>0</v>
      </c>
      <c r="AC240" s="133">
        <f>+SUM('12:25'!AC240)</f>
        <v>0</v>
      </c>
      <c r="AD240" s="1">
        <f t="shared" si="43"/>
        <v>0</v>
      </c>
      <c r="AE240" s="1">
        <v>288.89999999999998</v>
      </c>
      <c r="AF240" s="1">
        <f t="shared" si="44"/>
        <v>0</v>
      </c>
    </row>
    <row r="241" spans="1:32" ht="21.95" customHeight="1">
      <c r="A241" s="140">
        <v>300278</v>
      </c>
      <c r="B241" s="135" t="s">
        <v>43</v>
      </c>
      <c r="C241" s="226" t="s">
        <v>53</v>
      </c>
      <c r="D241" s="226"/>
      <c r="E241" s="139" t="s">
        <v>54</v>
      </c>
      <c r="F241" s="13"/>
      <c r="G241" s="133">
        <f>+SUM('12:25'!G241)</f>
        <v>0</v>
      </c>
      <c r="H241" s="133">
        <f>+SUM('12:25'!H241)</f>
        <v>0</v>
      </c>
      <c r="I241" s="133">
        <f>+SUM('12:25'!I241)</f>
        <v>0</v>
      </c>
      <c r="J241" s="133">
        <f>+SUM('12:25'!J241)</f>
        <v>0</v>
      </c>
      <c r="K241" s="137">
        <f t="shared" si="37"/>
        <v>0</v>
      </c>
      <c r="L241" s="137">
        <f t="shared" si="38"/>
        <v>0</v>
      </c>
      <c r="M241" s="15">
        <v>266</v>
      </c>
      <c r="N241" s="137">
        <f>+M241*1000/(29.8*10*13*60)*T241</f>
        <v>3.4331440371708828</v>
      </c>
      <c r="O241" s="133">
        <f>+SUM('12:25'!O241)</f>
        <v>0</v>
      </c>
      <c r="P241" s="137">
        <f t="shared" si="40"/>
        <v>0</v>
      </c>
      <c r="Q241" s="133">
        <f>+SUM('12:25'!Q241)</f>
        <v>0</v>
      </c>
      <c r="R241" s="19">
        <f t="shared" si="41"/>
        <v>0</v>
      </c>
      <c r="S241" s="137">
        <f t="shared" si="42"/>
        <v>0</v>
      </c>
      <c r="T241" s="20">
        <v>3</v>
      </c>
      <c r="U241" s="133">
        <f>+SUM('12:25'!U241)</f>
        <v>0</v>
      </c>
      <c r="V241" s="143" t="str">
        <f t="array" ref="V241">IF(ISERROR(L241/K241),"",L241/K241)</f>
        <v/>
      </c>
      <c r="W241" s="133">
        <f>+SUM('12:25'!W241)</f>
        <v>0</v>
      </c>
      <c r="X241" s="133">
        <f>+SUM('12:25'!X241)</f>
        <v>0</v>
      </c>
      <c r="Y241" s="133">
        <f>+SUM('12:25'!Y241)</f>
        <v>0</v>
      </c>
      <c r="Z241" s="133">
        <f>+SUM('12:25'!Z241)</f>
        <v>0</v>
      </c>
      <c r="AA241" s="133">
        <f>+SUM('12:25'!AA241)</f>
        <v>0</v>
      </c>
      <c r="AB241" s="133">
        <f>+SUM('12:25'!AB241)</f>
        <v>0</v>
      </c>
      <c r="AC241" s="133">
        <f>+SUM('12:25'!AC241)</f>
        <v>0</v>
      </c>
      <c r="AD241" s="1">
        <f t="shared" si="43"/>
        <v>0</v>
      </c>
      <c r="AE241" s="1">
        <v>288.89999999999998</v>
      </c>
      <c r="AF241" s="1">
        <f t="shared" si="44"/>
        <v>0</v>
      </c>
    </row>
    <row r="242" spans="1:32" s="2" customFormat="1" ht="21" customHeight="1">
      <c r="A242" s="140">
        <v>300027</v>
      </c>
      <c r="B242" s="135" t="s">
        <v>55</v>
      </c>
      <c r="C242" s="226" t="s">
        <v>56</v>
      </c>
      <c r="D242" s="226"/>
      <c r="E242" s="139" t="s">
        <v>54</v>
      </c>
      <c r="F242" s="141"/>
      <c r="G242" s="133">
        <f>+SUM('12:25'!G242)</f>
        <v>4</v>
      </c>
      <c r="H242" s="133">
        <f>+SUM('12:25'!H242)</f>
        <v>0</v>
      </c>
      <c r="I242" s="133">
        <f>+SUM('12:25'!I242)</f>
        <v>4</v>
      </c>
      <c r="J242" s="133">
        <f>+SUM('12:25'!J242)</f>
        <v>0</v>
      </c>
      <c r="K242" s="137">
        <f t="shared" si="37"/>
        <v>2201.6</v>
      </c>
      <c r="L242" s="137">
        <f t="shared" si="38"/>
        <v>2201.6</v>
      </c>
      <c r="M242" s="137">
        <v>550.4</v>
      </c>
      <c r="N242" s="137">
        <f>+M242*1000/(31*20*15*60)*T242</f>
        <v>2.9591397849462364</v>
      </c>
      <c r="O242" s="133">
        <f>+SUM('12:25'!O242)</f>
        <v>0.5</v>
      </c>
      <c r="P242" s="137">
        <f t="shared" si="40"/>
        <v>13.336559139784946</v>
      </c>
      <c r="Q242" s="133">
        <f>+SUM('12:25'!Q242)</f>
        <v>4</v>
      </c>
      <c r="R242" s="19">
        <f t="shared" si="41"/>
        <v>12</v>
      </c>
      <c r="S242" s="137">
        <f t="shared" si="42"/>
        <v>-1.3365591397849457</v>
      </c>
      <c r="T242" s="20">
        <v>3</v>
      </c>
      <c r="U242" s="133">
        <f>+SUM('12:25'!U242)</f>
        <v>3</v>
      </c>
      <c r="V242" s="143">
        <f t="array" ref="V242">IF(ISERROR(L242/K242),"",L242/K242)</f>
        <v>1</v>
      </c>
      <c r="W242" s="133">
        <f>+SUM('12:25'!W242)</f>
        <v>0</v>
      </c>
      <c r="X242" s="133">
        <f>+SUM('12:25'!X242)</f>
        <v>0</v>
      </c>
      <c r="Y242" s="133">
        <f>+SUM('12:25'!Y242)</f>
        <v>0</v>
      </c>
      <c r="Z242" s="133">
        <f>+SUM('12:25'!Z242)</f>
        <v>0</v>
      </c>
      <c r="AA242" s="133">
        <f>+SUM('12:25'!AA242)</f>
        <v>1.5</v>
      </c>
      <c r="AB242" s="133">
        <f>+SUM('12:25'!AB242)</f>
        <v>0</v>
      </c>
      <c r="AC242" s="133">
        <f>+SUM('12:25'!AC242)</f>
        <v>0</v>
      </c>
      <c r="AD242" s="1">
        <f t="shared" si="43"/>
        <v>2.2016</v>
      </c>
      <c r="AE242" s="52">
        <v>104.15</v>
      </c>
      <c r="AF242" s="1">
        <f t="shared" si="44"/>
        <v>229.29664000000002</v>
      </c>
    </row>
    <row r="243" spans="1:32" s="2" customFormat="1" ht="21.95" customHeight="1">
      <c r="A243" s="140">
        <v>300028</v>
      </c>
      <c r="B243" s="135" t="s">
        <v>55</v>
      </c>
      <c r="C243" s="226" t="s">
        <v>56</v>
      </c>
      <c r="D243" s="226"/>
      <c r="E243" s="139" t="s">
        <v>35</v>
      </c>
      <c r="F243" s="141"/>
      <c r="G243" s="133">
        <f>+SUM('12:25'!G243)</f>
        <v>0</v>
      </c>
      <c r="H243" s="133">
        <f>+SUM('12:25'!H243)</f>
        <v>0</v>
      </c>
      <c r="I243" s="133">
        <f>+SUM('12:25'!I243)</f>
        <v>0</v>
      </c>
      <c r="J243" s="133">
        <f>+SUM('12:25'!J243)</f>
        <v>0</v>
      </c>
      <c r="K243" s="137">
        <f t="shared" si="37"/>
        <v>0</v>
      </c>
      <c r="L243" s="137">
        <f t="shared" si="38"/>
        <v>0</v>
      </c>
      <c r="M243" s="137">
        <v>550.4</v>
      </c>
      <c r="N243" s="137">
        <f>+M243*1000/(31*20*15*60)*T243</f>
        <v>2.9591397849462364</v>
      </c>
      <c r="O243" s="133">
        <f>+SUM('12:25'!O243)</f>
        <v>0</v>
      </c>
      <c r="P243" s="137">
        <f t="shared" si="40"/>
        <v>0</v>
      </c>
      <c r="Q243" s="133">
        <f>+SUM('12:25'!Q243)</f>
        <v>0</v>
      </c>
      <c r="R243" s="19">
        <f t="shared" si="41"/>
        <v>0</v>
      </c>
      <c r="S243" s="137">
        <f t="shared" si="42"/>
        <v>0</v>
      </c>
      <c r="T243" s="20">
        <v>3</v>
      </c>
      <c r="U243" s="133">
        <f>+SUM('12:25'!U243)</f>
        <v>0</v>
      </c>
      <c r="V243" s="143" t="str">
        <f t="array" ref="V243">IF(ISERROR(L243/K243),"",L243/K243)</f>
        <v/>
      </c>
      <c r="W243" s="133">
        <f>+SUM('12:25'!W243)</f>
        <v>0</v>
      </c>
      <c r="X243" s="133">
        <f>+SUM('12:25'!X243)</f>
        <v>0</v>
      </c>
      <c r="Y243" s="133">
        <f>+SUM('12:25'!Y243)</f>
        <v>0</v>
      </c>
      <c r="Z243" s="133">
        <f>+SUM('12:25'!Z243)</f>
        <v>0</v>
      </c>
      <c r="AA243" s="133">
        <f>+SUM('12:25'!AA243)</f>
        <v>0</v>
      </c>
      <c r="AB243" s="133">
        <f>+SUM('12:25'!AB243)</f>
        <v>0</v>
      </c>
      <c r="AC243" s="133">
        <f>+SUM('12:25'!AC243)</f>
        <v>0</v>
      </c>
      <c r="AD243" s="1">
        <f t="shared" si="43"/>
        <v>0</v>
      </c>
      <c r="AE243" s="52">
        <v>104.15</v>
      </c>
      <c r="AF243" s="1">
        <f t="shared" si="44"/>
        <v>0</v>
      </c>
    </row>
    <row r="244" spans="1:32" s="2" customFormat="1" ht="21.95" customHeight="1">
      <c r="A244" s="140">
        <v>300029</v>
      </c>
      <c r="B244" s="135" t="s">
        <v>55</v>
      </c>
      <c r="C244" s="226" t="s">
        <v>56</v>
      </c>
      <c r="D244" s="226"/>
      <c r="E244" s="139" t="s">
        <v>57</v>
      </c>
      <c r="F244" s="141"/>
      <c r="G244" s="133">
        <f>+SUM('12:25'!G244)</f>
        <v>0</v>
      </c>
      <c r="H244" s="133">
        <f>+SUM('12:25'!H244)</f>
        <v>0</v>
      </c>
      <c r="I244" s="133">
        <f>+SUM('12:25'!I244)</f>
        <v>0</v>
      </c>
      <c r="J244" s="133">
        <f>+SUM('12:25'!J244)</f>
        <v>0</v>
      </c>
      <c r="K244" s="137">
        <f t="shared" si="37"/>
        <v>0</v>
      </c>
      <c r="L244" s="137">
        <f t="shared" si="38"/>
        <v>0</v>
      </c>
      <c r="M244" s="137">
        <v>550.4</v>
      </c>
      <c r="N244" s="137">
        <f>+M244*1000/(31*20*15*60)*T244</f>
        <v>2.9591397849462364</v>
      </c>
      <c r="O244" s="133">
        <f>+SUM('12:25'!O244)</f>
        <v>0</v>
      </c>
      <c r="P244" s="137">
        <f t="shared" si="40"/>
        <v>0</v>
      </c>
      <c r="Q244" s="133">
        <f>+SUM('12:25'!Q244)</f>
        <v>0</v>
      </c>
      <c r="R244" s="19">
        <f t="shared" si="41"/>
        <v>0</v>
      </c>
      <c r="S244" s="137">
        <f t="shared" si="42"/>
        <v>0</v>
      </c>
      <c r="T244" s="20">
        <v>3</v>
      </c>
      <c r="U244" s="133">
        <f>+SUM('12:25'!U244)</f>
        <v>0</v>
      </c>
      <c r="V244" s="143" t="str">
        <f t="array" ref="V244">IF(ISERROR(L244/K244),"",L244/K244)</f>
        <v/>
      </c>
      <c r="W244" s="133">
        <f>+SUM('12:25'!W244)</f>
        <v>0</v>
      </c>
      <c r="X244" s="133">
        <f>+SUM('12:25'!X244)</f>
        <v>0</v>
      </c>
      <c r="Y244" s="133">
        <f>+SUM('12:25'!Y244)</f>
        <v>0</v>
      </c>
      <c r="Z244" s="133">
        <f>+SUM('12:25'!Z244)</f>
        <v>0</v>
      </c>
      <c r="AA244" s="133">
        <f>+SUM('12:25'!AA244)</f>
        <v>0</v>
      </c>
      <c r="AB244" s="133">
        <f>+SUM('12:25'!AB244)</f>
        <v>0</v>
      </c>
      <c r="AC244" s="133">
        <f>+SUM('12:25'!AC244)</f>
        <v>0</v>
      </c>
      <c r="AD244" s="1">
        <f t="shared" si="43"/>
        <v>0</v>
      </c>
      <c r="AE244" s="52">
        <v>104.15</v>
      </c>
      <c r="AF244" s="1">
        <f t="shared" si="44"/>
        <v>0</v>
      </c>
    </row>
    <row r="245" spans="1:32" s="2" customFormat="1" ht="21.95" customHeight="1">
      <c r="A245" s="140">
        <v>300026</v>
      </c>
      <c r="B245" s="135" t="s">
        <v>55</v>
      </c>
      <c r="C245" s="226" t="s">
        <v>56</v>
      </c>
      <c r="D245" s="226"/>
      <c r="E245" s="139" t="s">
        <v>37</v>
      </c>
      <c r="F245" s="141"/>
      <c r="G245" s="133">
        <f>+SUM('12:25'!G245)</f>
        <v>5</v>
      </c>
      <c r="H245" s="133">
        <f>+SUM('12:25'!H245)</f>
        <v>0</v>
      </c>
      <c r="I245" s="133">
        <f>+SUM('12:25'!I245)</f>
        <v>4.8</v>
      </c>
      <c r="J245" s="133">
        <f>+SUM('12:25'!J245)</f>
        <v>100</v>
      </c>
      <c r="K245" s="137">
        <f t="shared" si="37"/>
        <v>2752</v>
      </c>
      <c r="L245" s="137">
        <f t="shared" si="38"/>
        <v>2641.9199999999996</v>
      </c>
      <c r="M245" s="137">
        <v>550.4</v>
      </c>
      <c r="N245" s="137">
        <f>+M245*1000/(31*20*15*60)*T245</f>
        <v>2.9591397849462364</v>
      </c>
      <c r="O245" s="133">
        <f>+SUM('12:25'!O245)</f>
        <v>0.5</v>
      </c>
      <c r="P245" s="137">
        <f t="shared" si="40"/>
        <v>15.703870967741935</v>
      </c>
      <c r="Q245" s="133">
        <f>+SUM('12:25'!Q245)</f>
        <v>4</v>
      </c>
      <c r="R245" s="19">
        <f t="shared" si="41"/>
        <v>12</v>
      </c>
      <c r="S245" s="137">
        <f t="shared" si="42"/>
        <v>-3.7038709677419348</v>
      </c>
      <c r="T245" s="20">
        <v>3</v>
      </c>
      <c r="U245" s="133">
        <f>+SUM('12:25'!U245)</f>
        <v>3</v>
      </c>
      <c r="V245" s="143">
        <f t="array" ref="V245">IF(ISERROR(L245/K245),"",L245/K245)</f>
        <v>0.95999999999999985</v>
      </c>
      <c r="W245" s="133">
        <f>+SUM('12:25'!W245)</f>
        <v>0</v>
      </c>
      <c r="X245" s="133">
        <f>+SUM('12:25'!X245)</f>
        <v>0</v>
      </c>
      <c r="Y245" s="133">
        <f>+SUM('12:25'!Y245)</f>
        <v>0</v>
      </c>
      <c r="Z245" s="133">
        <f>+SUM('12:25'!Z245)</f>
        <v>0</v>
      </c>
      <c r="AA245" s="133">
        <f>+SUM('12:25'!AA245)</f>
        <v>0</v>
      </c>
      <c r="AB245" s="133">
        <f>+SUM('12:25'!AB245)</f>
        <v>0</v>
      </c>
      <c r="AC245" s="133">
        <f>+SUM('12:25'!AC245)</f>
        <v>0</v>
      </c>
      <c r="AD245" s="1">
        <f t="shared" si="43"/>
        <v>2.6419199999999998</v>
      </c>
      <c r="AE245" s="52">
        <v>104.15</v>
      </c>
      <c r="AF245" s="1">
        <f t="shared" si="44"/>
        <v>275.15596799999997</v>
      </c>
    </row>
    <row r="246" spans="1:32" s="2" customFormat="1" ht="21.95" customHeight="1">
      <c r="A246" s="140">
        <v>300032</v>
      </c>
      <c r="B246" s="135">
        <v>3002</v>
      </c>
      <c r="C246" s="226" t="s">
        <v>58</v>
      </c>
      <c r="D246" s="226" t="s">
        <v>59</v>
      </c>
      <c r="E246" s="139" t="s">
        <v>35</v>
      </c>
      <c r="F246" s="141"/>
      <c r="G246" s="133">
        <f>+SUM('12:25'!G246)</f>
        <v>4</v>
      </c>
      <c r="H246" s="133">
        <f>+SUM('12:25'!H246)</f>
        <v>0</v>
      </c>
      <c r="I246" s="133">
        <f>+SUM('12:25'!I246)</f>
        <v>3.68</v>
      </c>
      <c r="J246" s="133">
        <f>+SUM('12:25'!J246)</f>
        <v>80</v>
      </c>
      <c r="K246" s="137">
        <f t="shared" si="37"/>
        <v>1142.8</v>
      </c>
      <c r="L246" s="137">
        <f t="shared" si="38"/>
        <v>1051.376</v>
      </c>
      <c r="M246" s="137">
        <v>285.7</v>
      </c>
      <c r="N246" s="137">
        <f>+M246*1000/(31*10*13*60)*T246</f>
        <v>7.0893300248138953</v>
      </c>
      <c r="O246" s="133">
        <f>+SUM('12:25'!O246)</f>
        <v>0</v>
      </c>
      <c r="P246" s="137">
        <f t="shared" si="40"/>
        <v>26.088734491315137</v>
      </c>
      <c r="Q246" s="133">
        <f>+SUM('12:25'!Q246)</f>
        <v>4</v>
      </c>
      <c r="R246" s="19">
        <f t="shared" si="41"/>
        <v>16</v>
      </c>
      <c r="S246" s="137">
        <f t="shared" si="42"/>
        <v>-10.088734491315137</v>
      </c>
      <c r="T246" s="20">
        <v>6</v>
      </c>
      <c r="U246" s="133">
        <f>+SUM('12:25'!U246)</f>
        <v>4</v>
      </c>
      <c r="V246" s="143">
        <f t="array" ref="V246">IF(ISERROR(L246/K246),"",L246/K246)</f>
        <v>0.92</v>
      </c>
      <c r="W246" s="133">
        <f>+SUM('12:25'!W246)</f>
        <v>0</v>
      </c>
      <c r="X246" s="133">
        <f>+SUM('12:25'!X246)</f>
        <v>0</v>
      </c>
      <c r="Y246" s="133">
        <f>+SUM('12:25'!Y246)</f>
        <v>0</v>
      </c>
      <c r="Z246" s="133">
        <f>+SUM('12:25'!Z246)</f>
        <v>0</v>
      </c>
      <c r="AA246" s="133">
        <f>+SUM('12:25'!AA246)</f>
        <v>7.5</v>
      </c>
      <c r="AB246" s="133">
        <f>+SUM('12:25'!AB246)</f>
        <v>0</v>
      </c>
      <c r="AC246" s="133">
        <f>+SUM('12:25'!AC246)</f>
        <v>0</v>
      </c>
      <c r="AD246" s="1">
        <f t="shared" si="43"/>
        <v>1.0513759999999999</v>
      </c>
      <c r="AE246" s="52">
        <v>435.96</v>
      </c>
      <c r="AF246" s="1">
        <f t="shared" si="44"/>
        <v>458.35788095999993</v>
      </c>
    </row>
    <row r="247" spans="1:32" ht="21.95" customHeight="1">
      <c r="A247" s="140">
        <v>300413</v>
      </c>
      <c r="B247" s="135">
        <v>3002</v>
      </c>
      <c r="C247" s="237" t="s">
        <v>304</v>
      </c>
      <c r="D247" s="238"/>
      <c r="E247" s="139" t="s">
        <v>302</v>
      </c>
      <c r="F247" s="13"/>
      <c r="G247" s="133">
        <f>+SUM('12:25'!G247)</f>
        <v>0</v>
      </c>
      <c r="H247" s="133">
        <f>+SUM('12:25'!H247)</f>
        <v>0</v>
      </c>
      <c r="I247" s="133">
        <f>+SUM('12:25'!I247)</f>
        <v>0</v>
      </c>
      <c r="J247" s="133">
        <f>+SUM('12:25'!J247)</f>
        <v>0</v>
      </c>
      <c r="K247" s="137">
        <f t="shared" si="37"/>
        <v>0</v>
      </c>
      <c r="L247" s="137">
        <f t="shared" si="38"/>
        <v>0</v>
      </c>
      <c r="M247" s="137">
        <v>528.79999999999995</v>
      </c>
      <c r="N247" s="137">
        <f>+M247*1000/(31*10*13*60)*T247</f>
        <v>6.5607940446650126</v>
      </c>
      <c r="O247" s="133">
        <f>+SUM('12:25'!O247)</f>
        <v>0</v>
      </c>
      <c r="P247" s="137">
        <f t="shared" si="40"/>
        <v>0</v>
      </c>
      <c r="Q247" s="133">
        <f>+SUM('12:25'!Q247)</f>
        <v>0</v>
      </c>
      <c r="R247" s="19">
        <f t="shared" si="41"/>
        <v>0</v>
      </c>
      <c r="S247" s="137">
        <f t="shared" si="42"/>
        <v>0</v>
      </c>
      <c r="T247" s="20">
        <v>3</v>
      </c>
      <c r="U247" s="133">
        <f>+SUM('12:25'!U247)</f>
        <v>0</v>
      </c>
      <c r="V247" s="143"/>
      <c r="W247" s="133">
        <f>+SUM('12:25'!W247)</f>
        <v>0</v>
      </c>
      <c r="X247" s="133">
        <f>+SUM('12:25'!X247)</f>
        <v>0</v>
      </c>
      <c r="Y247" s="133">
        <f>+SUM('12:25'!Y247)</f>
        <v>0</v>
      </c>
      <c r="Z247" s="133">
        <f>+SUM('12:25'!Z247)</f>
        <v>0</v>
      </c>
      <c r="AA247" s="133">
        <f>+SUM('12:25'!AA247)</f>
        <v>0</v>
      </c>
      <c r="AB247" s="133">
        <f>+SUM('12:25'!AB247)</f>
        <v>0</v>
      </c>
      <c r="AC247" s="133">
        <f>+SUM('12:25'!AC247)</f>
        <v>0</v>
      </c>
      <c r="AD247" s="1">
        <f t="shared" si="43"/>
        <v>0</v>
      </c>
      <c r="AE247" s="1">
        <v>103.15</v>
      </c>
      <c r="AF247" s="1">
        <f t="shared" si="44"/>
        <v>0</v>
      </c>
    </row>
    <row r="248" spans="1:32" ht="21.95" customHeight="1">
      <c r="A248" s="140">
        <v>300414</v>
      </c>
      <c r="B248" s="135">
        <v>3002</v>
      </c>
      <c r="C248" s="237" t="s">
        <v>304</v>
      </c>
      <c r="D248" s="238"/>
      <c r="E248" s="139" t="s">
        <v>299</v>
      </c>
      <c r="F248" s="13"/>
      <c r="G248" s="133">
        <f>+SUM('12:25'!G248)</f>
        <v>1.1000000000000001</v>
      </c>
      <c r="H248" s="133">
        <f>+SUM('12:25'!H248)</f>
        <v>0.1</v>
      </c>
      <c r="I248" s="133">
        <f>+SUM('12:25'!I248)</f>
        <v>1.1000000000000001</v>
      </c>
      <c r="J248" s="133">
        <f>+SUM('12:25'!J248)</f>
        <v>0</v>
      </c>
      <c r="K248" s="137">
        <f t="shared" si="37"/>
        <v>581.67999999999995</v>
      </c>
      <c r="L248" s="137">
        <f t="shared" si="38"/>
        <v>581.67999999999995</v>
      </c>
      <c r="M248" s="137">
        <v>528.79999999999995</v>
      </c>
      <c r="N248" s="137">
        <f>+M248*1000/(31*10*13*60)*T248</f>
        <v>6.5607940446650126</v>
      </c>
      <c r="O248" s="133">
        <f>+SUM('12:25'!O248)</f>
        <v>0</v>
      </c>
      <c r="P248" s="137">
        <f t="shared" si="40"/>
        <v>7.2168734491315147</v>
      </c>
      <c r="Q248" s="133">
        <f>+SUM('12:25'!Q248)</f>
        <v>2</v>
      </c>
      <c r="R248" s="19">
        <f t="shared" si="41"/>
        <v>6</v>
      </c>
      <c r="S248" s="137">
        <f t="shared" si="42"/>
        <v>-1.2168734491315147</v>
      </c>
      <c r="T248" s="20">
        <v>3</v>
      </c>
      <c r="U248" s="133">
        <f>+SUM('12:25'!U248)</f>
        <v>3</v>
      </c>
      <c r="V248" s="143"/>
      <c r="W248" s="133">
        <f>+SUM('12:25'!W248)</f>
        <v>0</v>
      </c>
      <c r="X248" s="133">
        <f>+SUM('12:25'!X248)</f>
        <v>0</v>
      </c>
      <c r="Y248" s="133">
        <f>+SUM('12:25'!Y248)</f>
        <v>0</v>
      </c>
      <c r="Z248" s="133">
        <f>+SUM('12:25'!Z248)</f>
        <v>0</v>
      </c>
      <c r="AA248" s="133">
        <f>+SUM('12:25'!AA248)</f>
        <v>0</v>
      </c>
      <c r="AB248" s="133">
        <f>+SUM('12:25'!AB248)</f>
        <v>0</v>
      </c>
      <c r="AC248" s="133">
        <f>+SUM('12:25'!AC248)</f>
        <v>0</v>
      </c>
      <c r="AD248" s="1">
        <f t="shared" si="43"/>
        <v>0.58167999999999997</v>
      </c>
      <c r="AE248" s="1">
        <v>103.15</v>
      </c>
      <c r="AF248" s="1">
        <f t="shared" si="44"/>
        <v>60.000292000000002</v>
      </c>
    </row>
    <row r="249" spans="1:32" ht="21.95" customHeight="1">
      <c r="A249" s="140">
        <v>300415</v>
      </c>
      <c r="B249" s="135">
        <v>3002</v>
      </c>
      <c r="C249" s="237" t="s">
        <v>304</v>
      </c>
      <c r="D249" s="238"/>
      <c r="E249" s="139" t="s">
        <v>303</v>
      </c>
      <c r="F249" s="13"/>
      <c r="G249" s="133">
        <f>+SUM('12:25'!G249)</f>
        <v>0</v>
      </c>
      <c r="H249" s="133">
        <f>+SUM('12:25'!H249)</f>
        <v>0</v>
      </c>
      <c r="I249" s="133">
        <f>+SUM('12:25'!I249)</f>
        <v>0</v>
      </c>
      <c r="J249" s="133">
        <f>+SUM('12:25'!J249)</f>
        <v>0</v>
      </c>
      <c r="K249" s="137">
        <f t="shared" si="37"/>
        <v>0</v>
      </c>
      <c r="L249" s="137">
        <f t="shared" si="38"/>
        <v>0</v>
      </c>
      <c r="M249" s="137">
        <v>528.79999999999995</v>
      </c>
      <c r="N249" s="137">
        <f>+M249*1000/(31*10*13*60)*T249</f>
        <v>6.5607940446650126</v>
      </c>
      <c r="O249" s="133">
        <f>+SUM('12:25'!O249)</f>
        <v>0</v>
      </c>
      <c r="P249" s="137">
        <f t="shared" si="40"/>
        <v>0</v>
      </c>
      <c r="Q249" s="133">
        <f>+SUM('12:25'!Q249)</f>
        <v>0</v>
      </c>
      <c r="R249" s="19">
        <f t="shared" si="41"/>
        <v>0</v>
      </c>
      <c r="S249" s="137">
        <f t="shared" si="42"/>
        <v>0</v>
      </c>
      <c r="T249" s="20">
        <v>3</v>
      </c>
      <c r="U249" s="133">
        <f>+SUM('12:25'!U249)</f>
        <v>0</v>
      </c>
      <c r="V249" s="143"/>
      <c r="W249" s="133">
        <f>+SUM('12:25'!W249)</f>
        <v>0</v>
      </c>
      <c r="X249" s="133">
        <f>+SUM('12:25'!X249)</f>
        <v>0</v>
      </c>
      <c r="Y249" s="133">
        <f>+SUM('12:25'!Y249)</f>
        <v>0</v>
      </c>
      <c r="Z249" s="133">
        <f>+SUM('12:25'!Z249)</f>
        <v>0</v>
      </c>
      <c r="AA249" s="133">
        <f>+SUM('12:25'!AA249)</f>
        <v>0</v>
      </c>
      <c r="AB249" s="133">
        <f>+SUM('12:25'!AB249)</f>
        <v>0</v>
      </c>
      <c r="AC249" s="133">
        <f>+SUM('12:25'!AC249)</f>
        <v>0</v>
      </c>
      <c r="AD249" s="1">
        <f t="shared" si="43"/>
        <v>0</v>
      </c>
      <c r="AE249" s="1">
        <v>103.15</v>
      </c>
      <c r="AF249" s="1">
        <f t="shared" si="44"/>
        <v>0</v>
      </c>
    </row>
    <row r="250" spans="1:32" s="2" customFormat="1" ht="21.95" customHeight="1">
      <c r="A250" s="140">
        <v>300035</v>
      </c>
      <c r="B250" s="135" t="s">
        <v>60</v>
      </c>
      <c r="C250" s="226" t="s">
        <v>61</v>
      </c>
      <c r="D250" s="226" t="s">
        <v>62</v>
      </c>
      <c r="E250" s="139" t="s">
        <v>35</v>
      </c>
      <c r="F250" s="141"/>
      <c r="G250" s="133">
        <f>+SUM('12:25'!G250)</f>
        <v>0</v>
      </c>
      <c r="H250" s="133">
        <f>+SUM('12:25'!H250)</f>
        <v>0</v>
      </c>
      <c r="I250" s="133">
        <f>+SUM('12:25'!I250)</f>
        <v>0</v>
      </c>
      <c r="J250" s="133">
        <f>+SUM('12:25'!J250)</f>
        <v>0</v>
      </c>
      <c r="K250" s="137">
        <f t="shared" si="37"/>
        <v>0</v>
      </c>
      <c r="L250" s="137">
        <f t="shared" si="38"/>
        <v>0</v>
      </c>
      <c r="M250" s="137">
        <v>366.93</v>
      </c>
      <c r="N250" s="137">
        <f>+M250*1000/(35.8*10*13*60)*T250</f>
        <v>2.6280618822518265</v>
      </c>
      <c r="O250" s="133">
        <f>+SUM('12:25'!O250)</f>
        <v>0</v>
      </c>
      <c r="P250" s="137">
        <f t="shared" si="40"/>
        <v>0</v>
      </c>
      <c r="Q250" s="133">
        <f>+SUM('12:25'!Q250)</f>
        <v>0</v>
      </c>
      <c r="R250" s="19">
        <f t="shared" si="41"/>
        <v>0</v>
      </c>
      <c r="S250" s="137">
        <f t="shared" si="42"/>
        <v>0</v>
      </c>
      <c r="T250" s="20">
        <v>2</v>
      </c>
      <c r="U250" s="133">
        <f>+SUM('12:25'!U250)</f>
        <v>0</v>
      </c>
      <c r="V250" s="143" t="str">
        <f t="array" ref="V250">IF(ISERROR(L250/K250),"",L250/K250)</f>
        <v/>
      </c>
      <c r="W250" s="133">
        <f>+SUM('12:25'!W250)</f>
        <v>0</v>
      </c>
      <c r="X250" s="133">
        <f>+SUM('12:25'!X250)</f>
        <v>0</v>
      </c>
      <c r="Y250" s="133">
        <f>+SUM('12:25'!Y250)</f>
        <v>0</v>
      </c>
      <c r="Z250" s="133">
        <f>+SUM('12:25'!Z250)</f>
        <v>0</v>
      </c>
      <c r="AA250" s="133">
        <f>+SUM('12:25'!AA250)</f>
        <v>0</v>
      </c>
      <c r="AB250" s="133">
        <f>+SUM('12:25'!AB250)</f>
        <v>0</v>
      </c>
      <c r="AC250" s="133">
        <f>+SUM('12:25'!AC250)</f>
        <v>0</v>
      </c>
      <c r="AD250" s="1">
        <f t="shared" si="43"/>
        <v>0</v>
      </c>
      <c r="AE250" s="52"/>
      <c r="AF250" s="1">
        <f t="shared" si="44"/>
        <v>0</v>
      </c>
    </row>
    <row r="251" spans="1:32" s="2" customFormat="1" ht="21.95" customHeight="1">
      <c r="A251" s="140">
        <v>300036</v>
      </c>
      <c r="B251" s="135" t="s">
        <v>60</v>
      </c>
      <c r="C251" s="226" t="s">
        <v>61</v>
      </c>
      <c r="D251" s="226" t="s">
        <v>62</v>
      </c>
      <c r="E251" s="139" t="s">
        <v>63</v>
      </c>
      <c r="F251" s="141"/>
      <c r="G251" s="133">
        <f>+SUM('12:25'!G251)</f>
        <v>0.88</v>
      </c>
      <c r="H251" s="133">
        <f>+SUM('12:25'!H251)</f>
        <v>0.88</v>
      </c>
      <c r="I251" s="133">
        <f>+SUM('12:25'!I251)</f>
        <v>0.88</v>
      </c>
      <c r="J251" s="133">
        <f>+SUM('12:25'!J251)</f>
        <v>0</v>
      </c>
      <c r="K251" s="137">
        <f t="shared" si="37"/>
        <v>322.89839999999998</v>
      </c>
      <c r="L251" s="137">
        <f t="shared" si="38"/>
        <v>322.89839999999998</v>
      </c>
      <c r="M251" s="137">
        <v>366.93</v>
      </c>
      <c r="N251" s="137">
        <f>+M251*1000/(35.8*10*13*60)*T251</f>
        <v>2.6280618822518265</v>
      </c>
      <c r="O251" s="133">
        <f>+SUM('12:25'!O251)</f>
        <v>0</v>
      </c>
      <c r="P251" s="137">
        <f t="shared" si="40"/>
        <v>2.3126944563816072</v>
      </c>
      <c r="Q251" s="133">
        <f>+SUM('12:25'!Q251)</f>
        <v>1</v>
      </c>
      <c r="R251" s="19">
        <f t="shared" si="41"/>
        <v>3</v>
      </c>
      <c r="S251" s="137">
        <f t="shared" si="42"/>
        <v>0.6873055436183928</v>
      </c>
      <c r="T251" s="20">
        <v>2</v>
      </c>
      <c r="U251" s="133">
        <f>+SUM('12:25'!U251)</f>
        <v>3</v>
      </c>
      <c r="V251" s="143">
        <f t="array" ref="V251">IF(ISERROR(L251/K251),"",L251/K251)</f>
        <v>1</v>
      </c>
      <c r="W251" s="133">
        <f>+SUM('12:25'!W251)</f>
        <v>0</v>
      </c>
      <c r="X251" s="133">
        <f>+SUM('12:25'!X251)</f>
        <v>0</v>
      </c>
      <c r="Y251" s="133">
        <f>+SUM('12:25'!Y251)</f>
        <v>0</v>
      </c>
      <c r="Z251" s="133">
        <f>+SUM('12:25'!Z251)</f>
        <v>0</v>
      </c>
      <c r="AA251" s="133">
        <f>+SUM('12:25'!AA251)</f>
        <v>4</v>
      </c>
      <c r="AB251" s="133">
        <f>+SUM('12:25'!AB251)</f>
        <v>0</v>
      </c>
      <c r="AC251" s="133">
        <f>+SUM('12:25'!AC251)</f>
        <v>0</v>
      </c>
      <c r="AD251" s="1">
        <f t="shared" si="43"/>
        <v>0.32289839999999997</v>
      </c>
      <c r="AE251" s="52">
        <v>312.63</v>
      </c>
      <c r="AF251" s="1">
        <f t="shared" si="44"/>
        <v>100.947726792</v>
      </c>
    </row>
    <row r="252" spans="1:32" s="2" customFormat="1" ht="21.95" customHeight="1">
      <c r="A252" s="140">
        <v>300037</v>
      </c>
      <c r="B252" s="135" t="s">
        <v>60</v>
      </c>
      <c r="C252" s="226" t="s">
        <v>61</v>
      </c>
      <c r="D252" s="226" t="s">
        <v>62</v>
      </c>
      <c r="E252" s="139" t="s">
        <v>37</v>
      </c>
      <c r="F252" s="141"/>
      <c r="G252" s="133">
        <f>+SUM('12:25'!G252)</f>
        <v>4</v>
      </c>
      <c r="H252" s="133">
        <f>+SUM('12:25'!H252)</f>
        <v>0</v>
      </c>
      <c r="I252" s="133">
        <f>+SUM('12:25'!I252)</f>
        <v>4</v>
      </c>
      <c r="J252" s="133">
        <f>+SUM('12:25'!J252)</f>
        <v>0</v>
      </c>
      <c r="K252" s="137">
        <f t="shared" si="37"/>
        <v>1467.72</v>
      </c>
      <c r="L252" s="137">
        <f t="shared" si="38"/>
        <v>1467.72</v>
      </c>
      <c r="M252" s="137">
        <v>366.93</v>
      </c>
      <c r="N252" s="137">
        <f>+M252*1000/(35.8*10*13*60)*T252</f>
        <v>2.6280618822518265</v>
      </c>
      <c r="O252" s="133">
        <f>+SUM('12:25'!O252)</f>
        <v>0.5</v>
      </c>
      <c r="P252" s="137">
        <f t="shared" si="40"/>
        <v>12.012247529007306</v>
      </c>
      <c r="Q252" s="133">
        <f>+SUM('12:25'!Q252)</f>
        <v>5</v>
      </c>
      <c r="R252" s="19">
        <f t="shared" si="41"/>
        <v>15</v>
      </c>
      <c r="S252" s="137">
        <f t="shared" si="42"/>
        <v>2.9877524709926941</v>
      </c>
      <c r="T252" s="20">
        <v>2</v>
      </c>
      <c r="U252" s="133">
        <f>+SUM('12:25'!U252)</f>
        <v>3</v>
      </c>
      <c r="V252" s="143">
        <f t="array" ref="V252">IF(ISERROR(L252/K252),"",L252/K252)</f>
        <v>1</v>
      </c>
      <c r="W252" s="133">
        <f>+SUM('12:25'!W252)</f>
        <v>0</v>
      </c>
      <c r="X252" s="133">
        <f>+SUM('12:25'!X252)</f>
        <v>0</v>
      </c>
      <c r="Y252" s="133">
        <f>+SUM('12:25'!Y252)</f>
        <v>0</v>
      </c>
      <c r="Z252" s="133">
        <f>+SUM('12:25'!Z252)</f>
        <v>0</v>
      </c>
      <c r="AA252" s="133">
        <f>+SUM('12:25'!AA252)</f>
        <v>0</v>
      </c>
      <c r="AB252" s="133">
        <f>+SUM('12:25'!AB252)</f>
        <v>0</v>
      </c>
      <c r="AC252" s="133">
        <f>+SUM('12:25'!AC252)</f>
        <v>0</v>
      </c>
      <c r="AD252" s="1">
        <f t="shared" si="43"/>
        <v>1.4677200000000001</v>
      </c>
      <c r="AE252" s="52">
        <v>312.63</v>
      </c>
      <c r="AF252" s="1">
        <f t="shared" si="44"/>
        <v>458.85330360000006</v>
      </c>
    </row>
    <row r="253" spans="1:32" s="2" customFormat="1" ht="21.95" customHeight="1">
      <c r="A253" s="140">
        <v>300038</v>
      </c>
      <c r="B253" s="135" t="s">
        <v>60</v>
      </c>
      <c r="C253" s="226" t="s">
        <v>64</v>
      </c>
      <c r="D253" s="226" t="s">
        <v>65</v>
      </c>
      <c r="E253" s="139" t="s">
        <v>35</v>
      </c>
      <c r="F253" s="141"/>
      <c r="G253" s="133">
        <f>+SUM('12:25'!G253)</f>
        <v>0</v>
      </c>
      <c r="H253" s="133">
        <f>+SUM('12:25'!H253)</f>
        <v>0</v>
      </c>
      <c r="I253" s="133">
        <f>+SUM('12:25'!I253)</f>
        <v>0</v>
      </c>
      <c r="J253" s="133">
        <f>+SUM('12:25'!J253)</f>
        <v>0</v>
      </c>
      <c r="K253" s="137">
        <f t="shared" si="37"/>
        <v>0</v>
      </c>
      <c r="L253" s="137">
        <f t="shared" si="38"/>
        <v>0</v>
      </c>
      <c r="M253" s="137">
        <v>301.14</v>
      </c>
      <c r="N253" s="137">
        <f>+M253*1000/(35.8*10*13*60)*T253</f>
        <v>5.3921357971637294</v>
      </c>
      <c r="O253" s="133">
        <f>+SUM('12:25'!O253)</f>
        <v>0</v>
      </c>
      <c r="P253" s="137">
        <f t="shared" si="40"/>
        <v>0</v>
      </c>
      <c r="Q253" s="133">
        <f>+SUM('12:25'!Q253)</f>
        <v>0</v>
      </c>
      <c r="R253" s="19">
        <f t="shared" si="41"/>
        <v>0</v>
      </c>
      <c r="S253" s="137">
        <f t="shared" si="42"/>
        <v>0</v>
      </c>
      <c r="T253" s="20">
        <v>5</v>
      </c>
      <c r="U253" s="133">
        <f>+SUM('12:25'!U253)</f>
        <v>0</v>
      </c>
      <c r="V253" s="143" t="str">
        <f t="array" ref="V253">IF(ISERROR(L253/K253),"",L253/K253)</f>
        <v/>
      </c>
      <c r="W253" s="133">
        <f>+SUM('12:25'!W253)</f>
        <v>0</v>
      </c>
      <c r="X253" s="133">
        <f>+SUM('12:25'!X253)</f>
        <v>0</v>
      </c>
      <c r="Y253" s="133">
        <f>+SUM('12:25'!Y253)</f>
        <v>0</v>
      </c>
      <c r="Z253" s="133">
        <f>+SUM('12:25'!Z253)</f>
        <v>0</v>
      </c>
      <c r="AA253" s="133">
        <f>+SUM('12:25'!AA253)</f>
        <v>0</v>
      </c>
      <c r="AB253" s="133">
        <f>+SUM('12:25'!AB253)</f>
        <v>0</v>
      </c>
      <c r="AC253" s="133">
        <f>+SUM('12:25'!AC253)</f>
        <v>0</v>
      </c>
      <c r="AD253" s="1">
        <f t="shared" si="43"/>
        <v>0</v>
      </c>
      <c r="AE253" s="52">
        <v>369.77</v>
      </c>
      <c r="AF253" s="1">
        <f t="shared" si="44"/>
        <v>0</v>
      </c>
    </row>
    <row r="254" spans="1:32" s="2" customFormat="1" ht="21.95" customHeight="1">
      <c r="A254" s="140">
        <v>300039</v>
      </c>
      <c r="B254" s="135" t="s">
        <v>60</v>
      </c>
      <c r="C254" s="226" t="s">
        <v>64</v>
      </c>
      <c r="D254" s="226" t="s">
        <v>65</v>
      </c>
      <c r="E254" s="139" t="s">
        <v>66</v>
      </c>
      <c r="F254" s="141"/>
      <c r="G254" s="133">
        <f>+SUM('12:25'!G254)</f>
        <v>0</v>
      </c>
      <c r="H254" s="133">
        <f>+SUM('12:25'!H254)</f>
        <v>0</v>
      </c>
      <c r="I254" s="133">
        <f>+SUM('12:25'!I254)</f>
        <v>0</v>
      </c>
      <c r="J254" s="133">
        <f>+SUM('12:25'!J254)</f>
        <v>0</v>
      </c>
      <c r="K254" s="137">
        <f t="shared" si="37"/>
        <v>0</v>
      </c>
      <c r="L254" s="137">
        <f t="shared" si="38"/>
        <v>0</v>
      </c>
      <c r="M254" s="137">
        <v>310.39999999999998</v>
      </c>
      <c r="N254" s="137">
        <f>+M254*1000/(35.8*10*13*60)*T254</f>
        <v>5.557942988110586</v>
      </c>
      <c r="O254" s="133">
        <f>+SUM('12:25'!O254)</f>
        <v>0</v>
      </c>
      <c r="P254" s="137">
        <f t="shared" si="40"/>
        <v>0</v>
      </c>
      <c r="Q254" s="133">
        <f>+SUM('12:25'!Q254)</f>
        <v>0</v>
      </c>
      <c r="R254" s="19">
        <f t="shared" si="41"/>
        <v>0</v>
      </c>
      <c r="S254" s="137">
        <f t="shared" si="42"/>
        <v>0</v>
      </c>
      <c r="T254" s="20">
        <v>5</v>
      </c>
      <c r="U254" s="133">
        <f>+SUM('12:25'!U254)</f>
        <v>0</v>
      </c>
      <c r="V254" s="143" t="str">
        <f t="array" ref="V254">IF(ISERROR(L254/K254),"",L254/K254)</f>
        <v/>
      </c>
      <c r="W254" s="133">
        <f>+SUM('12:25'!W254)</f>
        <v>0</v>
      </c>
      <c r="X254" s="133">
        <f>+SUM('12:25'!X254)</f>
        <v>0</v>
      </c>
      <c r="Y254" s="133">
        <f>+SUM('12:25'!Y254)</f>
        <v>0</v>
      </c>
      <c r="Z254" s="133">
        <f>+SUM('12:25'!Z254)</f>
        <v>0</v>
      </c>
      <c r="AA254" s="133">
        <f>+SUM('12:25'!AA254)</f>
        <v>0</v>
      </c>
      <c r="AB254" s="133">
        <f>+SUM('12:25'!AB254)</f>
        <v>0</v>
      </c>
      <c r="AC254" s="133">
        <f>+SUM('12:25'!AC254)</f>
        <v>0</v>
      </c>
      <c r="AD254" s="1">
        <f t="shared" si="43"/>
        <v>0</v>
      </c>
      <c r="AE254" s="52">
        <v>400.58</v>
      </c>
      <c r="AF254" s="1">
        <f t="shared" si="44"/>
        <v>0</v>
      </c>
    </row>
    <row r="255" spans="1:32" s="2" customFormat="1" ht="21" customHeight="1">
      <c r="A255" s="140">
        <v>300416</v>
      </c>
      <c r="B255" s="135" t="s">
        <v>67</v>
      </c>
      <c r="C255" s="237" t="s">
        <v>68</v>
      </c>
      <c r="D255" s="238"/>
      <c r="E255" s="139" t="s">
        <v>69</v>
      </c>
      <c r="F255" s="141"/>
      <c r="G255" s="133">
        <f>+SUM('12:25'!G255)</f>
        <v>0</v>
      </c>
      <c r="H255" s="133">
        <f>+SUM('12:25'!H255)</f>
        <v>0</v>
      </c>
      <c r="I255" s="133">
        <f>+SUM('12:25'!I255)</f>
        <v>0</v>
      </c>
      <c r="J255" s="133">
        <f>+SUM('12:25'!J255)</f>
        <v>0</v>
      </c>
      <c r="K255" s="137">
        <f t="shared" si="37"/>
        <v>0</v>
      </c>
      <c r="L255" s="137">
        <f t="shared" si="38"/>
        <v>0</v>
      </c>
      <c r="M255" s="137">
        <v>385.6</v>
      </c>
      <c r="N255" s="137">
        <f>+M255*1000/(25.4*20*15*60)*T255</f>
        <v>2.5301837270341205</v>
      </c>
      <c r="O255" s="133">
        <f>+SUM('12:25'!O255)</f>
        <v>0</v>
      </c>
      <c r="P255" s="137">
        <f t="shared" si="40"/>
        <v>0</v>
      </c>
      <c r="Q255" s="133">
        <f>+SUM('12:25'!Q255)</f>
        <v>0</v>
      </c>
      <c r="R255" s="19">
        <f t="shared" si="41"/>
        <v>0</v>
      </c>
      <c r="S255" s="137">
        <f t="shared" si="42"/>
        <v>0</v>
      </c>
      <c r="T255" s="20">
        <v>3</v>
      </c>
      <c r="U255" s="133">
        <f>+SUM('12:25'!U255)</f>
        <v>0</v>
      </c>
      <c r="V255" s="143"/>
      <c r="W255" s="133">
        <f>+SUM('12:25'!W255)</f>
        <v>0</v>
      </c>
      <c r="X255" s="133">
        <f>+SUM('12:25'!X255)</f>
        <v>0</v>
      </c>
      <c r="Y255" s="133">
        <f>+SUM('12:25'!Y255)</f>
        <v>0</v>
      </c>
      <c r="Z255" s="133">
        <f>+SUM('12:25'!Z255)</f>
        <v>0</v>
      </c>
      <c r="AA255" s="133">
        <f>+SUM('12:25'!AA255)</f>
        <v>0</v>
      </c>
      <c r="AB255" s="133">
        <f>+SUM('12:25'!AB255)</f>
        <v>0</v>
      </c>
      <c r="AC255" s="133">
        <f>+SUM('12:25'!AC255)</f>
        <v>0</v>
      </c>
      <c r="AD255" s="1">
        <f t="shared" si="43"/>
        <v>0</v>
      </c>
      <c r="AE255" s="52">
        <v>173.27</v>
      </c>
      <c r="AF255" s="1">
        <f t="shared" si="44"/>
        <v>0</v>
      </c>
    </row>
    <row r="256" spans="1:32" s="2" customFormat="1" ht="21" customHeight="1">
      <c r="A256" s="140">
        <v>300417</v>
      </c>
      <c r="B256" s="135" t="s">
        <v>67</v>
      </c>
      <c r="C256" s="237" t="s">
        <v>68</v>
      </c>
      <c r="D256" s="238"/>
      <c r="E256" s="139" t="s">
        <v>70</v>
      </c>
      <c r="F256" s="141"/>
      <c r="G256" s="133">
        <f>+SUM('12:25'!G256)</f>
        <v>6</v>
      </c>
      <c r="H256" s="133">
        <f>+SUM('12:25'!H256)</f>
        <v>0</v>
      </c>
      <c r="I256" s="133">
        <f>+SUM('12:25'!I256)</f>
        <v>6</v>
      </c>
      <c r="J256" s="133">
        <f>+SUM('12:25'!J256)</f>
        <v>0</v>
      </c>
      <c r="K256" s="137">
        <f t="shared" si="37"/>
        <v>2313.6000000000004</v>
      </c>
      <c r="L256" s="137">
        <f t="shared" si="38"/>
        <v>2313.6000000000004</v>
      </c>
      <c r="M256" s="137">
        <v>385.6</v>
      </c>
      <c r="N256" s="137">
        <f>+M256*1000/(25.4*20*15*60)*T256</f>
        <v>2.5301837270341205</v>
      </c>
      <c r="O256" s="133">
        <f>+SUM('12:25'!O256)</f>
        <v>0</v>
      </c>
      <c r="P256" s="137">
        <f t="shared" si="40"/>
        <v>15.181102362204722</v>
      </c>
      <c r="Q256" s="133">
        <f>+SUM('12:25'!Q256)</f>
        <v>5</v>
      </c>
      <c r="R256" s="19">
        <f t="shared" si="41"/>
        <v>10</v>
      </c>
      <c r="S256" s="137">
        <f t="shared" si="42"/>
        <v>-5.1811023622047223</v>
      </c>
      <c r="T256" s="20">
        <v>3</v>
      </c>
      <c r="U256" s="133">
        <f>+SUM('12:25'!U256)</f>
        <v>2</v>
      </c>
      <c r="V256" s="143"/>
      <c r="W256" s="133">
        <f>+SUM('12:25'!W256)</f>
        <v>0</v>
      </c>
      <c r="X256" s="133">
        <f>+SUM('12:25'!X256)</f>
        <v>0</v>
      </c>
      <c r="Y256" s="133">
        <f>+SUM('12:25'!Y256)</f>
        <v>0</v>
      </c>
      <c r="Z256" s="133">
        <f>+SUM('12:25'!Z256)</f>
        <v>0</v>
      </c>
      <c r="AA256" s="133">
        <f>+SUM('12:25'!AA256)</f>
        <v>1</v>
      </c>
      <c r="AB256" s="133">
        <f>+SUM('12:25'!AB256)</f>
        <v>0</v>
      </c>
      <c r="AC256" s="133">
        <f>+SUM('12:25'!AC256)</f>
        <v>0</v>
      </c>
      <c r="AD256" s="1">
        <f t="shared" si="43"/>
        <v>2.3136000000000005</v>
      </c>
      <c r="AE256" s="52">
        <v>173.27</v>
      </c>
      <c r="AF256" s="1">
        <f t="shared" si="44"/>
        <v>400.87747200000013</v>
      </c>
    </row>
    <row r="257" spans="1:32" s="2" customFormat="1" ht="21" customHeight="1">
      <c r="A257" s="140">
        <v>300418</v>
      </c>
      <c r="B257" s="135" t="s">
        <v>67</v>
      </c>
      <c r="C257" s="237" t="s">
        <v>68</v>
      </c>
      <c r="D257" s="238"/>
      <c r="E257" s="139" t="s">
        <v>71</v>
      </c>
      <c r="F257" s="141"/>
      <c r="G257" s="133">
        <f>+SUM('12:25'!G257)</f>
        <v>0</v>
      </c>
      <c r="H257" s="133">
        <f>+SUM('12:25'!H257)</f>
        <v>0</v>
      </c>
      <c r="I257" s="133">
        <f>+SUM('12:25'!I257)</f>
        <v>0</v>
      </c>
      <c r="J257" s="133">
        <f>+SUM('12:25'!J257)</f>
        <v>0</v>
      </c>
      <c r="K257" s="137">
        <f t="shared" si="37"/>
        <v>0</v>
      </c>
      <c r="L257" s="137">
        <f t="shared" si="38"/>
        <v>0</v>
      </c>
      <c r="M257" s="137">
        <v>385.6</v>
      </c>
      <c r="N257" s="137">
        <f>+M257*1000/(25.4*20*15*60)*T257</f>
        <v>2.5301837270341205</v>
      </c>
      <c r="O257" s="133">
        <f>+SUM('12:25'!O257)</f>
        <v>0</v>
      </c>
      <c r="P257" s="137">
        <f t="shared" si="40"/>
        <v>0</v>
      </c>
      <c r="Q257" s="133">
        <f>+SUM('12:25'!Q257)</f>
        <v>0</v>
      </c>
      <c r="R257" s="19">
        <f t="shared" si="41"/>
        <v>0</v>
      </c>
      <c r="S257" s="137">
        <f t="shared" si="42"/>
        <v>0</v>
      </c>
      <c r="T257" s="20">
        <v>3</v>
      </c>
      <c r="U257" s="133">
        <f>+SUM('12:25'!U257)</f>
        <v>0</v>
      </c>
      <c r="V257" s="143"/>
      <c r="W257" s="133">
        <f>+SUM('12:25'!W257)</f>
        <v>0</v>
      </c>
      <c r="X257" s="133">
        <f>+SUM('12:25'!X257)</f>
        <v>0</v>
      </c>
      <c r="Y257" s="133">
        <f>+SUM('12:25'!Y257)</f>
        <v>0</v>
      </c>
      <c r="Z257" s="133">
        <f>+SUM('12:25'!Z257)</f>
        <v>0</v>
      </c>
      <c r="AA257" s="133">
        <f>+SUM('12:25'!AA257)</f>
        <v>0</v>
      </c>
      <c r="AB257" s="133">
        <f>+SUM('12:25'!AB257)</f>
        <v>0</v>
      </c>
      <c r="AC257" s="133">
        <f>+SUM('12:25'!AC257)</f>
        <v>0</v>
      </c>
      <c r="AD257" s="1">
        <f t="shared" si="43"/>
        <v>0</v>
      </c>
      <c r="AE257" s="52">
        <v>173.27</v>
      </c>
      <c r="AF257" s="1">
        <f t="shared" si="44"/>
        <v>0</v>
      </c>
    </row>
    <row r="258" spans="1:32" s="2" customFormat="1" ht="21" customHeight="1">
      <c r="A258" s="140">
        <v>300419</v>
      </c>
      <c r="B258" s="135" t="s">
        <v>67</v>
      </c>
      <c r="C258" s="237" t="s">
        <v>68</v>
      </c>
      <c r="D258" s="238"/>
      <c r="E258" s="139" t="s">
        <v>72</v>
      </c>
      <c r="F258" s="141"/>
      <c r="G258" s="133">
        <f>+SUM('12:25'!G258)</f>
        <v>4</v>
      </c>
      <c r="H258" s="133">
        <f>+SUM('12:25'!H258)</f>
        <v>0</v>
      </c>
      <c r="I258" s="133">
        <f>+SUM('12:25'!I258)</f>
        <v>3.7714285714285714</v>
      </c>
      <c r="J258" s="133">
        <f>+SUM('12:25'!J258)</f>
        <v>80</v>
      </c>
      <c r="K258" s="137">
        <f t="shared" si="37"/>
        <v>1542.4</v>
      </c>
      <c r="L258" s="137">
        <f t="shared" si="38"/>
        <v>1454.2628571428572</v>
      </c>
      <c r="M258" s="137">
        <v>385.6</v>
      </c>
      <c r="N258" s="137">
        <f>+M258*1000/(25.4*20*15*60)*T258</f>
        <v>2.5301837270341205</v>
      </c>
      <c r="O258" s="133">
        <f>+SUM('12:25'!O258)</f>
        <v>0.5</v>
      </c>
      <c r="P258" s="137">
        <f t="shared" si="40"/>
        <v>10.542407199100111</v>
      </c>
      <c r="Q258" s="133">
        <f>+SUM('12:25'!Q258)</f>
        <v>5</v>
      </c>
      <c r="R258" s="19">
        <f t="shared" si="41"/>
        <v>10</v>
      </c>
      <c r="S258" s="137">
        <f t="shared" si="42"/>
        <v>-0.54240719910011137</v>
      </c>
      <c r="T258" s="20">
        <v>3</v>
      </c>
      <c r="U258" s="133">
        <f>+SUM('12:25'!U258)</f>
        <v>2</v>
      </c>
      <c r="V258" s="143"/>
      <c r="W258" s="133">
        <f>+SUM('12:25'!W258)</f>
        <v>0</v>
      </c>
      <c r="X258" s="133">
        <f>+SUM('12:25'!X258)</f>
        <v>0</v>
      </c>
      <c r="Y258" s="133">
        <f>+SUM('12:25'!Y258)</f>
        <v>0</v>
      </c>
      <c r="Z258" s="133">
        <f>+SUM('12:25'!Z258)</f>
        <v>0</v>
      </c>
      <c r="AA258" s="133">
        <f>+SUM('12:25'!AA258)</f>
        <v>0</v>
      </c>
      <c r="AB258" s="133">
        <f>+SUM('12:25'!AB258)</f>
        <v>0</v>
      </c>
      <c r="AC258" s="133">
        <f>+SUM('12:25'!AC258)</f>
        <v>0</v>
      </c>
      <c r="AD258" s="1">
        <f t="shared" si="43"/>
        <v>1.4542628571428573</v>
      </c>
      <c r="AE258" s="52">
        <v>173.27</v>
      </c>
      <c r="AF258" s="1">
        <f t="shared" si="44"/>
        <v>251.9801252571429</v>
      </c>
    </row>
    <row r="259" spans="1:32" s="2" customFormat="1" ht="21.95" customHeight="1">
      <c r="A259" s="140">
        <v>300260</v>
      </c>
      <c r="B259" s="135" t="s">
        <v>67</v>
      </c>
      <c r="C259" s="226" t="s">
        <v>73</v>
      </c>
      <c r="D259" s="226"/>
      <c r="E259" s="139" t="s">
        <v>74</v>
      </c>
      <c r="F259" s="141"/>
      <c r="G259" s="133">
        <f>+SUM('12:25'!G259)</f>
        <v>0</v>
      </c>
      <c r="H259" s="133">
        <f>+SUM('12:25'!H259)</f>
        <v>0</v>
      </c>
      <c r="I259" s="133">
        <f>+SUM('12:25'!I259)</f>
        <v>0</v>
      </c>
      <c r="J259" s="133">
        <f>+SUM('12:25'!J259)</f>
        <v>0</v>
      </c>
      <c r="K259" s="137">
        <f t="shared" si="37"/>
        <v>0</v>
      </c>
      <c r="L259" s="137">
        <f t="shared" si="38"/>
        <v>0</v>
      </c>
      <c r="M259" s="137">
        <v>434.33</v>
      </c>
      <c r="N259" s="137">
        <f>+M259*1000/(42.7*10*15*60)*T259</f>
        <v>2.2603695029924538</v>
      </c>
      <c r="O259" s="133">
        <f>+SUM('12:25'!O259)</f>
        <v>0</v>
      </c>
      <c r="P259" s="137">
        <f t="shared" si="40"/>
        <v>0</v>
      </c>
      <c r="Q259" s="133">
        <f>+SUM('12:25'!Q259)</f>
        <v>0</v>
      </c>
      <c r="R259" s="19">
        <f t="shared" si="41"/>
        <v>0</v>
      </c>
      <c r="S259" s="137">
        <f t="shared" si="42"/>
        <v>0</v>
      </c>
      <c r="T259" s="20">
        <v>2</v>
      </c>
      <c r="U259" s="133">
        <f>+SUM('12:25'!U259)</f>
        <v>0</v>
      </c>
      <c r="V259" s="143" t="str">
        <f t="array" ref="V259">IF(ISERROR(L259/K259),"",L259/K259)</f>
        <v/>
      </c>
      <c r="W259" s="133">
        <f>+SUM('12:25'!W259)</f>
        <v>0</v>
      </c>
      <c r="X259" s="133">
        <f>+SUM('12:25'!X259)</f>
        <v>0</v>
      </c>
      <c r="Y259" s="133">
        <f>+SUM('12:25'!Y259)</f>
        <v>0</v>
      </c>
      <c r="Z259" s="133">
        <f>+SUM('12:25'!Z259)</f>
        <v>0</v>
      </c>
      <c r="AA259" s="133">
        <f>+SUM('12:25'!AA259)</f>
        <v>0</v>
      </c>
      <c r="AB259" s="133">
        <f>+SUM('12:25'!AB259)</f>
        <v>0</v>
      </c>
      <c r="AC259" s="133">
        <f>+SUM('12:25'!AC259)</f>
        <v>0</v>
      </c>
      <c r="AD259" s="1">
        <f t="shared" si="43"/>
        <v>0</v>
      </c>
      <c r="AE259" s="52">
        <v>131.06</v>
      </c>
      <c r="AF259" s="1">
        <f t="shared" si="44"/>
        <v>0</v>
      </c>
    </row>
    <row r="260" spans="1:32" s="2" customFormat="1" ht="21.95" customHeight="1">
      <c r="A260" s="140">
        <v>300261</v>
      </c>
      <c r="B260" s="135" t="s">
        <v>67</v>
      </c>
      <c r="C260" s="226" t="s">
        <v>73</v>
      </c>
      <c r="D260" s="226"/>
      <c r="E260" s="139" t="s">
        <v>41</v>
      </c>
      <c r="F260" s="141"/>
      <c r="G260" s="133">
        <f>+SUM('12:25'!G260)</f>
        <v>0</v>
      </c>
      <c r="H260" s="133">
        <f>+SUM('12:25'!H260)</f>
        <v>0</v>
      </c>
      <c r="I260" s="133">
        <f>+SUM('12:25'!I260)</f>
        <v>0</v>
      </c>
      <c r="J260" s="133">
        <f>+SUM('12:25'!J260)</f>
        <v>0</v>
      </c>
      <c r="K260" s="137">
        <f t="shared" si="37"/>
        <v>0</v>
      </c>
      <c r="L260" s="137">
        <f t="shared" si="38"/>
        <v>0</v>
      </c>
      <c r="M260" s="137">
        <v>434.33</v>
      </c>
      <c r="N260" s="137">
        <f>+M260*1000/(42.7*10*15*60)*T260</f>
        <v>2.2603695029924538</v>
      </c>
      <c r="O260" s="133">
        <f>+SUM('12:25'!O260)</f>
        <v>0</v>
      </c>
      <c r="P260" s="137">
        <f t="shared" si="40"/>
        <v>0</v>
      </c>
      <c r="Q260" s="133">
        <f>+SUM('12:25'!Q260)</f>
        <v>0</v>
      </c>
      <c r="R260" s="19">
        <f t="shared" si="41"/>
        <v>0</v>
      </c>
      <c r="S260" s="137">
        <f t="shared" si="42"/>
        <v>0</v>
      </c>
      <c r="T260" s="20">
        <v>2</v>
      </c>
      <c r="U260" s="133">
        <f>+SUM('12:25'!U260)</f>
        <v>0</v>
      </c>
      <c r="V260" s="143" t="str">
        <f t="array" ref="V260">IF(ISERROR(L260/K260),"",L260/K260)</f>
        <v/>
      </c>
      <c r="W260" s="133">
        <f>+SUM('12:25'!W260)</f>
        <v>0</v>
      </c>
      <c r="X260" s="133">
        <f>+SUM('12:25'!X260)</f>
        <v>0</v>
      </c>
      <c r="Y260" s="133">
        <f>+SUM('12:25'!Y260)</f>
        <v>0</v>
      </c>
      <c r="Z260" s="133">
        <f>+SUM('12:25'!Z260)</f>
        <v>0</v>
      </c>
      <c r="AA260" s="133">
        <f>+SUM('12:25'!AA260)</f>
        <v>0</v>
      </c>
      <c r="AB260" s="133">
        <f>+SUM('12:25'!AB260)</f>
        <v>0</v>
      </c>
      <c r="AC260" s="133">
        <f>+SUM('12:25'!AC260)</f>
        <v>0</v>
      </c>
      <c r="AD260" s="1">
        <f t="shared" si="43"/>
        <v>0</v>
      </c>
      <c r="AE260" s="52">
        <v>131.06</v>
      </c>
      <c r="AF260" s="1">
        <f t="shared" si="44"/>
        <v>0</v>
      </c>
    </row>
    <row r="261" spans="1:32" s="2" customFormat="1" ht="21.95" customHeight="1">
      <c r="A261" s="140">
        <v>300262</v>
      </c>
      <c r="B261" s="135" t="s">
        <v>67</v>
      </c>
      <c r="C261" s="226" t="s">
        <v>73</v>
      </c>
      <c r="D261" s="226"/>
      <c r="E261" s="139" t="s">
        <v>39</v>
      </c>
      <c r="F261" s="141"/>
      <c r="G261" s="133">
        <f>+SUM('12:25'!G261)</f>
        <v>0</v>
      </c>
      <c r="H261" s="133">
        <f>+SUM('12:25'!H261)</f>
        <v>0</v>
      </c>
      <c r="I261" s="133">
        <f>+SUM('12:25'!I261)</f>
        <v>0</v>
      </c>
      <c r="J261" s="133">
        <f>+SUM('12:25'!J261)</f>
        <v>0</v>
      </c>
      <c r="K261" s="137">
        <f t="shared" si="37"/>
        <v>0</v>
      </c>
      <c r="L261" s="137">
        <f t="shared" si="38"/>
        <v>0</v>
      </c>
      <c r="M261" s="137">
        <v>434.33</v>
      </c>
      <c r="N261" s="137">
        <f>+M261*1000/(42.7*10*15*60)*T261</f>
        <v>2.2603695029924538</v>
      </c>
      <c r="O261" s="133">
        <f>+SUM('12:25'!O261)</f>
        <v>0</v>
      </c>
      <c r="P261" s="137">
        <f t="shared" si="40"/>
        <v>0</v>
      </c>
      <c r="Q261" s="133">
        <f>+SUM('12:25'!Q261)</f>
        <v>0</v>
      </c>
      <c r="R261" s="19">
        <f t="shared" si="41"/>
        <v>0</v>
      </c>
      <c r="S261" s="137">
        <f t="shared" si="42"/>
        <v>0</v>
      </c>
      <c r="T261" s="20">
        <v>2</v>
      </c>
      <c r="U261" s="133">
        <f>+SUM('12:25'!U261)</f>
        <v>0</v>
      </c>
      <c r="V261" s="143" t="str">
        <f t="array" ref="V261">IF(ISERROR(L261/K261),"",L261/K261)</f>
        <v/>
      </c>
      <c r="W261" s="133">
        <f>+SUM('12:25'!W261)</f>
        <v>0</v>
      </c>
      <c r="X261" s="133">
        <f>+SUM('12:25'!X261)</f>
        <v>0</v>
      </c>
      <c r="Y261" s="133">
        <f>+SUM('12:25'!Y261)</f>
        <v>0</v>
      </c>
      <c r="Z261" s="133">
        <f>+SUM('12:25'!Z261)</f>
        <v>0</v>
      </c>
      <c r="AA261" s="133">
        <f>+SUM('12:25'!AA261)</f>
        <v>0</v>
      </c>
      <c r="AB261" s="133">
        <f>+SUM('12:25'!AB261)</f>
        <v>0</v>
      </c>
      <c r="AC261" s="133">
        <f>+SUM('12:25'!AC261)</f>
        <v>0</v>
      </c>
      <c r="AD261" s="1">
        <f t="shared" si="43"/>
        <v>0</v>
      </c>
      <c r="AE261" s="52">
        <v>131.06</v>
      </c>
      <c r="AF261" s="1">
        <f t="shared" si="44"/>
        <v>0</v>
      </c>
    </row>
    <row r="262" spans="1:32" s="2" customFormat="1" ht="21.95" customHeight="1">
      <c r="A262" s="140">
        <v>300263</v>
      </c>
      <c r="B262" s="135" t="s">
        <v>67</v>
      </c>
      <c r="C262" s="226" t="s">
        <v>73</v>
      </c>
      <c r="D262" s="226"/>
      <c r="E262" s="139" t="s">
        <v>54</v>
      </c>
      <c r="F262" s="141"/>
      <c r="G262" s="133">
        <f>+SUM('12:25'!G262)</f>
        <v>0</v>
      </c>
      <c r="H262" s="133">
        <f>+SUM('12:25'!H262)</f>
        <v>0</v>
      </c>
      <c r="I262" s="133">
        <f>+SUM('12:25'!I262)</f>
        <v>0</v>
      </c>
      <c r="J262" s="133">
        <f>+SUM('12:25'!J262)</f>
        <v>0</v>
      </c>
      <c r="K262" s="137">
        <f t="shared" si="37"/>
        <v>0</v>
      </c>
      <c r="L262" s="137">
        <f t="shared" si="38"/>
        <v>0</v>
      </c>
      <c r="M262" s="137">
        <v>434.33</v>
      </c>
      <c r="N262" s="137">
        <f>+M262*1000/(42.7*10*15*60)*T262</f>
        <v>2.2603695029924538</v>
      </c>
      <c r="O262" s="133">
        <f>+SUM('12:25'!O262)</f>
        <v>0</v>
      </c>
      <c r="P262" s="137">
        <f t="shared" si="40"/>
        <v>0</v>
      </c>
      <c r="Q262" s="133">
        <f>+SUM('12:25'!Q262)</f>
        <v>0</v>
      </c>
      <c r="R262" s="19">
        <f t="shared" si="41"/>
        <v>0</v>
      </c>
      <c r="S262" s="137">
        <f t="shared" si="42"/>
        <v>0</v>
      </c>
      <c r="T262" s="20">
        <v>2</v>
      </c>
      <c r="U262" s="133">
        <f>+SUM('12:25'!U262)</f>
        <v>0</v>
      </c>
      <c r="V262" s="143" t="str">
        <f t="array" ref="V262">IF(ISERROR(L262/K262),"",L262/K262)</f>
        <v/>
      </c>
      <c r="W262" s="133">
        <f>+SUM('12:25'!W262)</f>
        <v>0</v>
      </c>
      <c r="X262" s="133">
        <f>+SUM('12:25'!X262)</f>
        <v>0</v>
      </c>
      <c r="Y262" s="133">
        <f>+SUM('12:25'!Y262)</f>
        <v>0</v>
      </c>
      <c r="Z262" s="133">
        <f>+SUM('12:25'!Z262)</f>
        <v>0</v>
      </c>
      <c r="AA262" s="133">
        <f>+SUM('12:25'!AA262)</f>
        <v>0</v>
      </c>
      <c r="AB262" s="133">
        <f>+SUM('12:25'!AB262)</f>
        <v>0</v>
      </c>
      <c r="AC262" s="133">
        <f>+SUM('12:25'!AC262)</f>
        <v>0</v>
      </c>
      <c r="AD262" s="1">
        <f t="shared" si="43"/>
        <v>0</v>
      </c>
      <c r="AE262" s="52">
        <v>131.06</v>
      </c>
      <c r="AF262" s="1">
        <f t="shared" si="44"/>
        <v>0</v>
      </c>
    </row>
    <row r="263" spans="1:32" s="2" customFormat="1" ht="21.95" customHeight="1">
      <c r="A263" s="140">
        <v>300051</v>
      </c>
      <c r="B263" s="135" t="s">
        <v>67</v>
      </c>
      <c r="C263" s="226" t="s">
        <v>75</v>
      </c>
      <c r="D263" s="226" t="s">
        <v>76</v>
      </c>
      <c r="E263" s="139" t="s">
        <v>40</v>
      </c>
      <c r="F263" s="141"/>
      <c r="G263" s="133">
        <f>+SUM('12:25'!G263)</f>
        <v>0</v>
      </c>
      <c r="H263" s="133">
        <f>+SUM('12:25'!H263)</f>
        <v>0</v>
      </c>
      <c r="I263" s="133">
        <f>+SUM('12:25'!I263)</f>
        <v>0</v>
      </c>
      <c r="J263" s="133">
        <f>+SUM('12:25'!J263)</f>
        <v>0</v>
      </c>
      <c r="K263" s="137">
        <f t="shared" si="37"/>
        <v>0</v>
      </c>
      <c r="L263" s="137">
        <f t="shared" si="38"/>
        <v>0</v>
      </c>
      <c r="M263" s="137">
        <v>545.9</v>
      </c>
      <c r="N263" s="137">
        <f>+M263*1000/(41.5*10*16*60)*T263</f>
        <v>2.7404618473895583</v>
      </c>
      <c r="O263" s="133">
        <f>+SUM('12:25'!O263)</f>
        <v>0</v>
      </c>
      <c r="P263" s="137">
        <f t="shared" si="40"/>
        <v>0</v>
      </c>
      <c r="Q263" s="133">
        <f>+SUM('12:25'!Q263)</f>
        <v>0</v>
      </c>
      <c r="R263" s="19">
        <f t="shared" si="41"/>
        <v>0</v>
      </c>
      <c r="S263" s="137">
        <f t="shared" si="42"/>
        <v>0</v>
      </c>
      <c r="T263" s="22">
        <v>2</v>
      </c>
      <c r="U263" s="133">
        <f>+SUM('12:25'!U263)</f>
        <v>0</v>
      </c>
      <c r="V263" s="143" t="str">
        <f t="array" ref="V263">IF(ISERROR(L263/K263),"",L263/K263)</f>
        <v/>
      </c>
      <c r="W263" s="133">
        <f>+SUM('12:25'!W263)</f>
        <v>0</v>
      </c>
      <c r="X263" s="133">
        <f>+SUM('12:25'!X263)</f>
        <v>0</v>
      </c>
      <c r="Y263" s="133">
        <f>+SUM('12:25'!Y263)</f>
        <v>0</v>
      </c>
      <c r="Z263" s="133">
        <f>+SUM('12:25'!Z263)</f>
        <v>0</v>
      </c>
      <c r="AA263" s="133">
        <f>+SUM('12:25'!AA263)</f>
        <v>0</v>
      </c>
      <c r="AB263" s="133">
        <f>+SUM('12:25'!AB263)</f>
        <v>0</v>
      </c>
      <c r="AC263" s="133">
        <f>+SUM('12:25'!AC263)</f>
        <v>0</v>
      </c>
      <c r="AD263" s="1">
        <f t="shared" si="43"/>
        <v>0</v>
      </c>
      <c r="AE263" s="52">
        <v>134.85</v>
      </c>
      <c r="AF263" s="1">
        <f t="shared" si="44"/>
        <v>0</v>
      </c>
    </row>
    <row r="264" spans="1:32" s="2" customFormat="1" ht="21.95" customHeight="1">
      <c r="A264" s="140">
        <v>300052</v>
      </c>
      <c r="B264" s="135" t="s">
        <v>67</v>
      </c>
      <c r="C264" s="226" t="s">
        <v>75</v>
      </c>
      <c r="D264" s="226" t="s">
        <v>76</v>
      </c>
      <c r="E264" s="139" t="s">
        <v>39</v>
      </c>
      <c r="F264" s="141"/>
      <c r="G264" s="133">
        <f>+SUM('12:25'!G264)</f>
        <v>2.2000000000000002</v>
      </c>
      <c r="H264" s="133">
        <f>+SUM('12:25'!H264)</f>
        <v>0.2</v>
      </c>
      <c r="I264" s="133">
        <f>+SUM('12:25'!I264)</f>
        <v>2.2000000000000002</v>
      </c>
      <c r="J264" s="133">
        <f>+SUM('12:25'!J264)</f>
        <v>0</v>
      </c>
      <c r="K264" s="137">
        <f t="shared" si="37"/>
        <v>1200.98</v>
      </c>
      <c r="L264" s="137">
        <f t="shared" si="38"/>
        <v>1200.98</v>
      </c>
      <c r="M264" s="137">
        <v>545.9</v>
      </c>
      <c r="N264" s="137">
        <f>+M264*1000/(41.5*10*16*60)*T264</f>
        <v>2.7404618473895583</v>
      </c>
      <c r="O264" s="133">
        <f>+SUM('12:25'!O264)</f>
        <v>0</v>
      </c>
      <c r="P264" s="137">
        <f t="shared" si="40"/>
        <v>6.0290160642570285</v>
      </c>
      <c r="Q264" s="133">
        <f>+SUM('12:25'!Q264)</f>
        <v>4</v>
      </c>
      <c r="R264" s="19">
        <f t="shared" si="41"/>
        <v>8</v>
      </c>
      <c r="S264" s="137">
        <f t="shared" si="42"/>
        <v>1.9709839357429715</v>
      </c>
      <c r="T264" s="20">
        <v>2</v>
      </c>
      <c r="U264" s="133">
        <f>+SUM('12:25'!U264)</f>
        <v>2</v>
      </c>
      <c r="V264" s="143">
        <f t="array" ref="V264">IF(ISERROR(L264/K264),"",L264/K264)</f>
        <v>1</v>
      </c>
      <c r="W264" s="133">
        <f>+SUM('12:25'!W264)</f>
        <v>0</v>
      </c>
      <c r="X264" s="133">
        <f>+SUM('12:25'!X264)</f>
        <v>0</v>
      </c>
      <c r="Y264" s="133">
        <f>+SUM('12:25'!Y264)</f>
        <v>0</v>
      </c>
      <c r="Z264" s="133">
        <f>+SUM('12:25'!Z264)</f>
        <v>0</v>
      </c>
      <c r="AA264" s="133">
        <f>+SUM('12:25'!AA264)</f>
        <v>1</v>
      </c>
      <c r="AB264" s="133">
        <f>+SUM('12:25'!AB264)</f>
        <v>0</v>
      </c>
      <c r="AC264" s="133">
        <f>+SUM('12:25'!AC264)</f>
        <v>0</v>
      </c>
      <c r="AD264" s="1">
        <f t="shared" si="43"/>
        <v>1.2009799999999999</v>
      </c>
      <c r="AE264" s="52">
        <v>134.85</v>
      </c>
      <c r="AF264" s="1">
        <f t="shared" si="44"/>
        <v>161.95215299999998</v>
      </c>
    </row>
    <row r="265" spans="1:32" s="2" customFormat="1" ht="21.95" customHeight="1">
      <c r="A265" s="140">
        <v>300054</v>
      </c>
      <c r="B265" s="135" t="s">
        <v>67</v>
      </c>
      <c r="C265" s="226" t="s">
        <v>75</v>
      </c>
      <c r="D265" s="226" t="s">
        <v>76</v>
      </c>
      <c r="E265" s="139" t="s">
        <v>38</v>
      </c>
      <c r="F265" s="141"/>
      <c r="G265" s="133">
        <f>+SUM('12:25'!G265)</f>
        <v>4</v>
      </c>
      <c r="H265" s="133">
        <f>+SUM('12:25'!H265)</f>
        <v>0</v>
      </c>
      <c r="I265" s="133">
        <f>+SUM('12:25'!I265)</f>
        <v>4</v>
      </c>
      <c r="J265" s="133">
        <f>+SUM('12:25'!J265)</f>
        <v>0</v>
      </c>
      <c r="K265" s="137">
        <f t="shared" si="37"/>
        <v>2183.6</v>
      </c>
      <c r="L265" s="137">
        <f t="shared" si="38"/>
        <v>2183.6</v>
      </c>
      <c r="M265" s="137">
        <v>545.9</v>
      </c>
      <c r="N265" s="137">
        <f>+M265*1000/(41.5*10*16*60)*T265</f>
        <v>2.7404618473895583</v>
      </c>
      <c r="O265" s="133">
        <f>+SUM('12:25'!O265)</f>
        <v>0.5</v>
      </c>
      <c r="P265" s="137">
        <f t="shared" si="40"/>
        <v>11.961847389558233</v>
      </c>
      <c r="Q265" s="133">
        <f>+SUM('12:25'!Q265)</f>
        <v>4.5</v>
      </c>
      <c r="R265" s="19">
        <f t="shared" si="41"/>
        <v>9</v>
      </c>
      <c r="S265" s="137">
        <f t="shared" si="42"/>
        <v>-2.9618473895582333</v>
      </c>
      <c r="T265" s="20">
        <v>2</v>
      </c>
      <c r="U265" s="133">
        <f>+SUM('12:25'!U265)</f>
        <v>2</v>
      </c>
      <c r="V265" s="143">
        <f t="array" ref="V265">IF(ISERROR(L265/K265),"",L265/K265)</f>
        <v>1</v>
      </c>
      <c r="W265" s="133">
        <f>+SUM('12:25'!W265)</f>
        <v>0</v>
      </c>
      <c r="X265" s="133">
        <f>+SUM('12:25'!X265)</f>
        <v>0</v>
      </c>
      <c r="Y265" s="133">
        <f>+SUM('12:25'!Y265)</f>
        <v>0</v>
      </c>
      <c r="Z265" s="133">
        <f>+SUM('12:25'!Z265)</f>
        <v>0</v>
      </c>
      <c r="AA265" s="133">
        <f>+SUM('12:25'!AA265)</f>
        <v>0</v>
      </c>
      <c r="AB265" s="133">
        <f>+SUM('12:25'!AB265)</f>
        <v>0</v>
      </c>
      <c r="AC265" s="133">
        <f>+SUM('12:25'!AC265)</f>
        <v>0</v>
      </c>
      <c r="AD265" s="1">
        <f t="shared" si="43"/>
        <v>2.1835999999999998</v>
      </c>
      <c r="AE265" s="52">
        <v>134.85</v>
      </c>
      <c r="AF265" s="1">
        <f t="shared" si="44"/>
        <v>294.45845999999995</v>
      </c>
    </row>
    <row r="266" spans="1:32" s="132" customFormat="1" ht="21.95" customHeight="1">
      <c r="A266" s="126">
        <v>300436</v>
      </c>
      <c r="B266" s="147" t="s">
        <v>67</v>
      </c>
      <c r="C266" s="239" t="s">
        <v>75</v>
      </c>
      <c r="D266" s="239" t="s">
        <v>76</v>
      </c>
      <c r="E266" s="42" t="s">
        <v>309</v>
      </c>
      <c r="F266" s="127"/>
      <c r="G266" s="133">
        <f>+SUM('12:25'!G266)</f>
        <v>0</v>
      </c>
      <c r="H266" s="133">
        <f>+SUM('12:25'!H266)</f>
        <v>0</v>
      </c>
      <c r="I266" s="133">
        <f>+SUM('12:25'!I266)</f>
        <v>0</v>
      </c>
      <c r="J266" s="133">
        <f>+SUM('12:25'!J266)</f>
        <v>0</v>
      </c>
      <c r="K266" s="15">
        <f t="shared" si="37"/>
        <v>0</v>
      </c>
      <c r="L266" s="15">
        <f t="shared" si="38"/>
        <v>0</v>
      </c>
      <c r="M266" s="15">
        <v>545.9</v>
      </c>
      <c r="N266" s="15">
        <f>+M266*1000/(41.5*10*16*60)*T266</f>
        <v>2.7404618473895583</v>
      </c>
      <c r="O266" s="133">
        <f>+SUM('12:25'!O266)</f>
        <v>0</v>
      </c>
      <c r="P266" s="15">
        <f t="shared" si="40"/>
        <v>0</v>
      </c>
      <c r="Q266" s="133">
        <f>+SUM('12:25'!Q266)</f>
        <v>0</v>
      </c>
      <c r="R266" s="129">
        <f t="shared" si="41"/>
        <v>0</v>
      </c>
      <c r="S266" s="15">
        <f t="shared" si="42"/>
        <v>0</v>
      </c>
      <c r="T266" s="130">
        <v>2</v>
      </c>
      <c r="U266" s="133">
        <f>+SUM('12:25'!U266)</f>
        <v>0</v>
      </c>
      <c r="V266" s="131"/>
      <c r="W266" s="133">
        <f>+SUM('12:25'!W266)</f>
        <v>0</v>
      </c>
      <c r="X266" s="133">
        <f>+SUM('12:25'!X266)</f>
        <v>0</v>
      </c>
      <c r="Y266" s="133">
        <f>+SUM('12:25'!Y266)</f>
        <v>0</v>
      </c>
      <c r="Z266" s="133">
        <f>+SUM('12:25'!Z266)</f>
        <v>0</v>
      </c>
      <c r="AA266" s="133">
        <f>+SUM('12:25'!AA266)</f>
        <v>0</v>
      </c>
      <c r="AB266" s="133">
        <f>+SUM('12:25'!AB266)</f>
        <v>0</v>
      </c>
      <c r="AC266" s="133">
        <f>+SUM('12:25'!AC266)</f>
        <v>0</v>
      </c>
      <c r="AD266" s="1">
        <f t="shared" si="43"/>
        <v>0</v>
      </c>
      <c r="AE266" s="185">
        <v>134.85</v>
      </c>
      <c r="AF266" s="1">
        <f t="shared" si="44"/>
        <v>0</v>
      </c>
    </row>
    <row r="267" spans="1:32" s="2" customFormat="1" ht="21.95" customHeight="1">
      <c r="A267" s="140">
        <v>300050</v>
      </c>
      <c r="B267" s="135" t="s">
        <v>67</v>
      </c>
      <c r="C267" s="226" t="s">
        <v>77</v>
      </c>
      <c r="D267" s="226" t="s">
        <v>78</v>
      </c>
      <c r="E267" s="139" t="s">
        <v>79</v>
      </c>
      <c r="F267" s="141"/>
      <c r="G267" s="133">
        <f>+SUM('12:25'!G267)</f>
        <v>2</v>
      </c>
      <c r="H267" s="133">
        <f>+SUM('12:25'!H267)</f>
        <v>0</v>
      </c>
      <c r="I267" s="133">
        <f>+SUM('12:25'!I267)</f>
        <v>1.8571428571428572</v>
      </c>
      <c r="J267" s="133">
        <f>+SUM('12:25'!J267)</f>
        <v>50</v>
      </c>
      <c r="K267" s="137">
        <f t="shared" si="37"/>
        <v>855</v>
      </c>
      <c r="L267" s="137">
        <f t="shared" si="38"/>
        <v>793.92857142857144</v>
      </c>
      <c r="M267" s="137">
        <v>427.5</v>
      </c>
      <c r="N267" s="137">
        <f>+M267*1000/(45*10*14*60)*T267</f>
        <v>5.6547619047619051</v>
      </c>
      <c r="O267" s="133">
        <f>+SUM('12:25'!O267)</f>
        <v>0.5</v>
      </c>
      <c r="P267" s="137">
        <f t="shared" si="40"/>
        <v>11.50170068027211</v>
      </c>
      <c r="Q267" s="133">
        <f>+SUM('12:25'!Q267)</f>
        <v>3</v>
      </c>
      <c r="R267" s="19">
        <f t="shared" si="41"/>
        <v>6</v>
      </c>
      <c r="S267" s="137">
        <f t="shared" si="42"/>
        <v>-5.5017006802721102</v>
      </c>
      <c r="T267" s="20">
        <v>5</v>
      </c>
      <c r="U267" s="133">
        <f>+SUM('12:25'!U267)</f>
        <v>2</v>
      </c>
      <c r="V267" s="143">
        <f t="array" ref="V267">IF(ISERROR(L267/K267),"",L267/K267)</f>
        <v>0.9285714285714286</v>
      </c>
      <c r="W267" s="133">
        <f>+SUM('12:25'!W267)</f>
        <v>0</v>
      </c>
      <c r="X267" s="133">
        <f>+SUM('12:25'!X267)</f>
        <v>0</v>
      </c>
      <c r="Y267" s="133">
        <f>+SUM('12:25'!Y267)</f>
        <v>0</v>
      </c>
      <c r="Z267" s="133">
        <f>+SUM('12:25'!Z267)</f>
        <v>0</v>
      </c>
      <c r="AA267" s="133">
        <f>+SUM('12:25'!AA267)</f>
        <v>0</v>
      </c>
      <c r="AB267" s="133">
        <f>+SUM('12:25'!AB267)</f>
        <v>0</v>
      </c>
      <c r="AC267" s="133">
        <f>+SUM('12:25'!AC267)</f>
        <v>0</v>
      </c>
      <c r="AD267" s="1">
        <f t="shared" si="43"/>
        <v>0.79392857142857143</v>
      </c>
      <c r="AE267" s="52">
        <v>300.33</v>
      </c>
      <c r="AF267" s="1">
        <f t="shared" si="44"/>
        <v>238.44056785714284</v>
      </c>
    </row>
    <row r="268" spans="1:32" s="2" customFormat="1" ht="21.95" customHeight="1">
      <c r="A268" s="140">
        <v>300045</v>
      </c>
      <c r="B268" s="135" t="s">
        <v>67</v>
      </c>
      <c r="C268" s="226" t="s">
        <v>77</v>
      </c>
      <c r="D268" s="226" t="s">
        <v>78</v>
      </c>
      <c r="E268" s="139" t="s">
        <v>35</v>
      </c>
      <c r="F268" s="141"/>
      <c r="G268" s="133">
        <f>+SUM('12:25'!G268)</f>
        <v>0</v>
      </c>
      <c r="H268" s="133">
        <f>+SUM('12:25'!H268)</f>
        <v>0</v>
      </c>
      <c r="I268" s="133">
        <f>+SUM('12:25'!I268)</f>
        <v>0</v>
      </c>
      <c r="J268" s="133">
        <f>+SUM('12:25'!J268)</f>
        <v>0</v>
      </c>
      <c r="K268" s="137">
        <f t="shared" si="37"/>
        <v>0</v>
      </c>
      <c r="L268" s="137">
        <f t="shared" si="38"/>
        <v>0</v>
      </c>
      <c r="M268" s="137">
        <v>406.6</v>
      </c>
      <c r="N268" s="137">
        <f>+M268*1000/(45*10*13*60)*T268</f>
        <v>5.7920227920227916</v>
      </c>
      <c r="O268" s="133">
        <f>+SUM('12:25'!O268)</f>
        <v>0</v>
      </c>
      <c r="P268" s="137">
        <f t="shared" si="40"/>
        <v>0</v>
      </c>
      <c r="Q268" s="133">
        <f>+SUM('12:25'!Q268)</f>
        <v>0</v>
      </c>
      <c r="R268" s="19">
        <f t="shared" si="41"/>
        <v>0</v>
      </c>
      <c r="S268" s="137">
        <f t="shared" si="42"/>
        <v>0</v>
      </c>
      <c r="T268" s="20">
        <v>5</v>
      </c>
      <c r="U268" s="133">
        <f>+SUM('12:25'!U268)</f>
        <v>0</v>
      </c>
      <c r="V268" s="143" t="str">
        <f t="array" ref="V268">IF(ISERROR(L268/K268),"",L268/K268)</f>
        <v/>
      </c>
      <c r="W268" s="133">
        <f>+SUM('12:25'!W268)</f>
        <v>0</v>
      </c>
      <c r="X268" s="133">
        <f>+SUM('12:25'!X268)</f>
        <v>0</v>
      </c>
      <c r="Y268" s="133">
        <f>+SUM('12:25'!Y268)</f>
        <v>0</v>
      </c>
      <c r="Z268" s="133">
        <f>+SUM('12:25'!Z268)</f>
        <v>0</v>
      </c>
      <c r="AA268" s="133">
        <f>+SUM('12:25'!AA268)</f>
        <v>0</v>
      </c>
      <c r="AB268" s="133">
        <f>+SUM('12:25'!AB268)</f>
        <v>0</v>
      </c>
      <c r="AC268" s="133">
        <f>+SUM('12:25'!AC268)</f>
        <v>0</v>
      </c>
      <c r="AD268" s="1">
        <f t="shared" si="43"/>
        <v>0</v>
      </c>
      <c r="AE268" s="52">
        <v>300.33</v>
      </c>
      <c r="AF268" s="1">
        <f t="shared" si="44"/>
        <v>0</v>
      </c>
    </row>
    <row r="269" spans="1:32" s="2" customFormat="1" ht="21.95" customHeight="1">
      <c r="A269" s="140">
        <v>300422</v>
      </c>
      <c r="B269" s="135" t="s">
        <v>67</v>
      </c>
      <c r="C269" s="237" t="s">
        <v>301</v>
      </c>
      <c r="D269" s="238"/>
      <c r="E269" s="139" t="s">
        <v>54</v>
      </c>
      <c r="F269" s="141"/>
      <c r="G269" s="133">
        <f>+SUM('12:25'!G269)</f>
        <v>0</v>
      </c>
      <c r="H269" s="133">
        <f>+SUM('12:25'!H269)</f>
        <v>0</v>
      </c>
      <c r="I269" s="133">
        <f>+SUM('12:25'!I269)</f>
        <v>0</v>
      </c>
      <c r="J269" s="133">
        <f>+SUM('12:25'!J269)</f>
        <v>0</v>
      </c>
      <c r="K269" s="137">
        <f t="shared" si="37"/>
        <v>0</v>
      </c>
      <c r="L269" s="137">
        <f t="shared" si="38"/>
        <v>0</v>
      </c>
      <c r="M269" s="137">
        <v>429.8</v>
      </c>
      <c r="N269" s="137">
        <f>+M269*1000/(45*10*13*60)*T269</f>
        <v>3.6735042735042738</v>
      </c>
      <c r="O269" s="133">
        <f>+SUM('12:25'!O269)</f>
        <v>0</v>
      </c>
      <c r="P269" s="137">
        <f t="shared" si="40"/>
        <v>0</v>
      </c>
      <c r="Q269" s="133">
        <f>+SUM('12:25'!Q269)</f>
        <v>0</v>
      </c>
      <c r="R269" s="19">
        <f t="shared" si="41"/>
        <v>0</v>
      </c>
      <c r="S269" s="137">
        <f t="shared" si="42"/>
        <v>0</v>
      </c>
      <c r="T269" s="20">
        <v>3</v>
      </c>
      <c r="U269" s="133">
        <f>+SUM('12:25'!U269)</f>
        <v>0</v>
      </c>
      <c r="V269" s="143"/>
      <c r="W269" s="133">
        <f>+SUM('12:25'!W269)</f>
        <v>0</v>
      </c>
      <c r="X269" s="133">
        <f>+SUM('12:25'!X269)</f>
        <v>0</v>
      </c>
      <c r="Y269" s="133">
        <f>+SUM('12:25'!Y269)</f>
        <v>0</v>
      </c>
      <c r="Z269" s="133">
        <f>+SUM('12:25'!Z269)</f>
        <v>0</v>
      </c>
      <c r="AA269" s="133">
        <f>+SUM('12:25'!AA269)</f>
        <v>0</v>
      </c>
      <c r="AB269" s="133">
        <f>+SUM('12:25'!AB269)</f>
        <v>0</v>
      </c>
      <c r="AC269" s="133">
        <f>+SUM('12:25'!AC269)</f>
        <v>0</v>
      </c>
      <c r="AD269" s="1">
        <f t="shared" si="43"/>
        <v>0</v>
      </c>
      <c r="AE269" s="52"/>
      <c r="AF269" s="1">
        <f t="shared" si="44"/>
        <v>0</v>
      </c>
    </row>
    <row r="270" spans="1:32" s="2" customFormat="1" ht="21.95" customHeight="1">
      <c r="A270" s="140">
        <v>300421</v>
      </c>
      <c r="B270" s="135" t="s">
        <v>67</v>
      </c>
      <c r="C270" s="237" t="s">
        <v>301</v>
      </c>
      <c r="D270" s="238"/>
      <c r="E270" s="139" t="s">
        <v>80</v>
      </c>
      <c r="F270" s="141"/>
      <c r="G270" s="133">
        <f>+SUM('12:25'!G270)</f>
        <v>2.2857142857142856</v>
      </c>
      <c r="H270" s="133">
        <f>+SUM('12:25'!H270)</f>
        <v>1.2857142857142858</v>
      </c>
      <c r="I270" s="133">
        <f>+SUM('12:25'!I270)</f>
        <v>2.2857142857142856</v>
      </c>
      <c r="J270" s="133">
        <f>+SUM('12:25'!J270)</f>
        <v>0</v>
      </c>
      <c r="K270" s="137">
        <f t="shared" si="37"/>
        <v>982.4</v>
      </c>
      <c r="L270" s="137">
        <f t="shared" si="38"/>
        <v>982.4</v>
      </c>
      <c r="M270" s="137">
        <v>429.8</v>
      </c>
      <c r="N270" s="137">
        <f>+M270*1000/(45*10*13*60)*T270</f>
        <v>3.6735042735042738</v>
      </c>
      <c r="O270" s="133">
        <f>+SUM('12:25'!O270)</f>
        <v>0</v>
      </c>
      <c r="P270" s="137">
        <f t="shared" si="40"/>
        <v>8.3965811965811969</v>
      </c>
      <c r="Q270" s="133">
        <f>+SUM('12:25'!Q270)</f>
        <v>2</v>
      </c>
      <c r="R270" s="19">
        <f t="shared" si="41"/>
        <v>8</v>
      </c>
      <c r="S270" s="137">
        <f t="shared" si="42"/>
        <v>-0.39658119658119695</v>
      </c>
      <c r="T270" s="20">
        <v>3</v>
      </c>
      <c r="U270" s="133">
        <f>+SUM('12:25'!U270)</f>
        <v>4</v>
      </c>
      <c r="V270" s="143"/>
      <c r="W270" s="133">
        <f>+SUM('12:25'!W270)</f>
        <v>0</v>
      </c>
      <c r="X270" s="133">
        <f>+SUM('12:25'!X270)</f>
        <v>0</v>
      </c>
      <c r="Y270" s="133">
        <f>+SUM('12:25'!Y270)</f>
        <v>0</v>
      </c>
      <c r="Z270" s="133">
        <f>+SUM('12:25'!Z270)</f>
        <v>0</v>
      </c>
      <c r="AA270" s="133">
        <f>+SUM('12:25'!AA270)</f>
        <v>0.5</v>
      </c>
      <c r="AB270" s="133">
        <f>+SUM('12:25'!AB270)</f>
        <v>0</v>
      </c>
      <c r="AC270" s="133">
        <f>+SUM('12:25'!AC270)</f>
        <v>0</v>
      </c>
      <c r="AD270" s="1">
        <f t="shared" si="43"/>
        <v>0.98239999999999994</v>
      </c>
      <c r="AE270" s="52">
        <v>160.38</v>
      </c>
      <c r="AF270" s="1">
        <f t="shared" si="44"/>
        <v>157.557312</v>
      </c>
    </row>
    <row r="271" spans="1:32" s="2" customFormat="1" ht="21.95" customHeight="1">
      <c r="A271" s="140">
        <v>300149</v>
      </c>
      <c r="B271" s="135" t="s">
        <v>67</v>
      </c>
      <c r="C271" s="226" t="s">
        <v>81</v>
      </c>
      <c r="D271" s="226" t="s">
        <v>82</v>
      </c>
      <c r="E271" s="139" t="s">
        <v>80</v>
      </c>
      <c r="F271" s="141"/>
      <c r="G271" s="133">
        <f>+SUM('12:25'!G271)</f>
        <v>4</v>
      </c>
      <c r="H271" s="133">
        <f>+SUM('12:25'!H271)</f>
        <v>0</v>
      </c>
      <c r="I271" s="133">
        <f>+SUM('12:25'!I271)</f>
        <v>4</v>
      </c>
      <c r="J271" s="133">
        <f>+SUM('12:25'!J271)</f>
        <v>0</v>
      </c>
      <c r="K271" s="137">
        <f t="shared" si="37"/>
        <v>2356.4</v>
      </c>
      <c r="L271" s="137">
        <f t="shared" si="38"/>
        <v>2356.4</v>
      </c>
      <c r="M271" s="137">
        <v>589.1</v>
      </c>
      <c r="N271" s="137">
        <f>+M271*1000/(67.1*10*13*60)*T271</f>
        <v>3.3767052619511633</v>
      </c>
      <c r="O271" s="133">
        <f>+SUM('12:25'!O271)</f>
        <v>0.5</v>
      </c>
      <c r="P271" s="137">
        <f t="shared" si="40"/>
        <v>15.506821047804653</v>
      </c>
      <c r="Q271" s="133">
        <f>+SUM('12:25'!Q271)</f>
        <v>6</v>
      </c>
      <c r="R271" s="19">
        <f t="shared" si="41"/>
        <v>24</v>
      </c>
      <c r="S271" s="137">
        <f t="shared" si="42"/>
        <v>8.4931789521953469</v>
      </c>
      <c r="T271" s="20">
        <v>3</v>
      </c>
      <c r="U271" s="133">
        <f>+SUM('12:25'!U271)</f>
        <v>4</v>
      </c>
      <c r="V271" s="143">
        <f t="array" ref="V271">IF(ISERROR(L271/K271),"",L271/K271)</f>
        <v>1</v>
      </c>
      <c r="W271" s="133">
        <f>+SUM('12:25'!W271)</f>
        <v>0</v>
      </c>
      <c r="X271" s="133">
        <f>+SUM('12:25'!X271)</f>
        <v>0</v>
      </c>
      <c r="Y271" s="133">
        <f>+SUM('12:25'!Y271)</f>
        <v>0</v>
      </c>
      <c r="Z271" s="133">
        <f>+SUM('12:25'!Z271)</f>
        <v>0</v>
      </c>
      <c r="AA271" s="133">
        <f>+SUM('12:25'!AA271)</f>
        <v>0</v>
      </c>
      <c r="AB271" s="133">
        <f>+SUM('12:25'!AB271)</f>
        <v>0</v>
      </c>
      <c r="AC271" s="133">
        <f>+SUM('12:25'!AC271)</f>
        <v>0</v>
      </c>
      <c r="AD271" s="1">
        <f t="shared" si="43"/>
        <v>2.3564000000000003</v>
      </c>
      <c r="AE271" s="52">
        <v>160.38</v>
      </c>
      <c r="AF271" s="1">
        <f t="shared" si="44"/>
        <v>377.91943200000003</v>
      </c>
    </row>
    <row r="272" spans="1:32" s="2" customFormat="1" ht="21.95" customHeight="1">
      <c r="A272" s="140">
        <v>300150</v>
      </c>
      <c r="B272" s="135" t="s">
        <v>67</v>
      </c>
      <c r="C272" s="226" t="s">
        <v>81</v>
      </c>
      <c r="D272" s="226" t="s">
        <v>82</v>
      </c>
      <c r="E272" s="139" t="s">
        <v>54</v>
      </c>
      <c r="F272" s="141"/>
      <c r="G272" s="133">
        <f>+SUM('12:25'!G272)</f>
        <v>2.5</v>
      </c>
      <c r="H272" s="133">
        <f>+SUM('12:25'!H272)</f>
        <v>0</v>
      </c>
      <c r="I272" s="133">
        <f>+SUM('12:25'!I272)</f>
        <v>2.2000000000000002</v>
      </c>
      <c r="J272" s="133">
        <f>+SUM('12:25'!J272)</f>
        <v>400</v>
      </c>
      <c r="K272" s="137">
        <f t="shared" si="37"/>
        <v>1472.75</v>
      </c>
      <c r="L272" s="137">
        <f t="shared" si="38"/>
        <v>1296.0200000000002</v>
      </c>
      <c r="M272" s="137">
        <v>589.1</v>
      </c>
      <c r="N272" s="137">
        <f>+M272*1000/(67.1*10*13*60)*T272</f>
        <v>3.3767052619511633</v>
      </c>
      <c r="O272" s="133">
        <f>+SUM('12:25'!O272)</f>
        <v>0.5</v>
      </c>
      <c r="P272" s="137">
        <f t="shared" si="40"/>
        <v>9.4287515762925587</v>
      </c>
      <c r="Q272" s="133">
        <f>+SUM('12:25'!Q272)</f>
        <v>2</v>
      </c>
      <c r="R272" s="19">
        <f t="shared" si="41"/>
        <v>8</v>
      </c>
      <c r="S272" s="137">
        <f t="shared" si="42"/>
        <v>-1.4287515762925587</v>
      </c>
      <c r="T272" s="20">
        <v>3</v>
      </c>
      <c r="U272" s="133">
        <f>+SUM('12:25'!U272)</f>
        <v>4</v>
      </c>
      <c r="V272" s="143">
        <f t="array" ref="V272">IF(ISERROR(L272/K272),"",L272/K272)</f>
        <v>0.88000000000000012</v>
      </c>
      <c r="W272" s="133">
        <f>+SUM('12:25'!W272)</f>
        <v>0</v>
      </c>
      <c r="X272" s="133">
        <f>+SUM('12:25'!X272)</f>
        <v>0</v>
      </c>
      <c r="Y272" s="133">
        <f>+SUM('12:25'!Y272)</f>
        <v>0</v>
      </c>
      <c r="Z272" s="133">
        <f>+SUM('12:25'!Z272)</f>
        <v>0</v>
      </c>
      <c r="AA272" s="133">
        <f>+SUM('12:25'!AA272)</f>
        <v>0</v>
      </c>
      <c r="AB272" s="133">
        <f>+SUM('12:25'!AB272)</f>
        <v>0</v>
      </c>
      <c r="AC272" s="133">
        <f>+SUM('12:25'!AC272)</f>
        <v>0</v>
      </c>
      <c r="AD272" s="1">
        <f t="shared" si="43"/>
        <v>1.2960200000000002</v>
      </c>
      <c r="AE272" s="52">
        <v>160.38</v>
      </c>
      <c r="AF272" s="1">
        <f t="shared" si="44"/>
        <v>207.85568760000001</v>
      </c>
    </row>
    <row r="273" spans="1:32" s="2" customFormat="1" ht="21.95" customHeight="1">
      <c r="A273" s="140">
        <v>300330</v>
      </c>
      <c r="B273" s="135" t="s">
        <v>67</v>
      </c>
      <c r="C273" s="237" t="s">
        <v>83</v>
      </c>
      <c r="D273" s="238"/>
      <c r="E273" s="139" t="s">
        <v>84</v>
      </c>
      <c r="F273" s="141"/>
      <c r="G273" s="133">
        <f>+SUM('12:25'!G273)</f>
        <v>0</v>
      </c>
      <c r="H273" s="133">
        <f>+SUM('12:25'!H273)</f>
        <v>0</v>
      </c>
      <c r="I273" s="133">
        <f>+SUM('12:25'!I273)</f>
        <v>0</v>
      </c>
      <c r="J273" s="133">
        <f>+SUM('12:25'!J273)</f>
        <v>0</v>
      </c>
      <c r="K273" s="137">
        <f t="shared" si="37"/>
        <v>0</v>
      </c>
      <c r="L273" s="137">
        <f t="shared" si="38"/>
        <v>0</v>
      </c>
      <c r="M273" s="137">
        <v>416.3</v>
      </c>
      <c r="N273" s="137">
        <f t="shared" ref="N273:N278" si="45">+M273*1000/(45*10*18*60)*T273</f>
        <v>1.7131687242798355</v>
      </c>
      <c r="O273" s="133">
        <f>+SUM('12:25'!O273)</f>
        <v>0</v>
      </c>
      <c r="P273" s="137">
        <f t="shared" si="40"/>
        <v>0</v>
      </c>
      <c r="Q273" s="133">
        <f>+SUM('12:25'!Q273)</f>
        <v>0</v>
      </c>
      <c r="R273" s="19">
        <f t="shared" si="41"/>
        <v>0</v>
      </c>
      <c r="S273" s="137">
        <f t="shared" si="42"/>
        <v>0</v>
      </c>
      <c r="T273" s="20">
        <v>2</v>
      </c>
      <c r="U273" s="133">
        <f>+SUM('12:25'!U273)</f>
        <v>0</v>
      </c>
      <c r="V273" s="143" t="str">
        <f t="array" ref="V273">IF(ISERROR(L273/K273),"",L273/K273)</f>
        <v/>
      </c>
      <c r="W273" s="133">
        <f>+SUM('12:25'!W273)</f>
        <v>0</v>
      </c>
      <c r="X273" s="133">
        <f>+SUM('12:25'!X273)</f>
        <v>0</v>
      </c>
      <c r="Y273" s="133">
        <f>+SUM('12:25'!Y273)</f>
        <v>0</v>
      </c>
      <c r="Z273" s="133">
        <f>+SUM('12:25'!Z273)</f>
        <v>0</v>
      </c>
      <c r="AA273" s="133">
        <f>+SUM('12:25'!AA273)</f>
        <v>0</v>
      </c>
      <c r="AB273" s="133">
        <f>+SUM('12:25'!AB273)</f>
        <v>0</v>
      </c>
      <c r="AC273" s="133">
        <f>+SUM('12:25'!AC273)</f>
        <v>0</v>
      </c>
      <c r="AD273" s="1">
        <f t="shared" si="43"/>
        <v>0</v>
      </c>
      <c r="AE273" s="52">
        <v>124.36</v>
      </c>
      <c r="AF273" s="1">
        <f t="shared" si="44"/>
        <v>0</v>
      </c>
    </row>
    <row r="274" spans="1:32" s="2" customFormat="1" ht="21.95" customHeight="1">
      <c r="A274" s="140">
        <v>300331</v>
      </c>
      <c r="B274" s="135" t="s">
        <v>67</v>
      </c>
      <c r="C274" s="237" t="s">
        <v>83</v>
      </c>
      <c r="D274" s="238"/>
      <c r="E274" s="139" t="s">
        <v>49</v>
      </c>
      <c r="F274" s="141"/>
      <c r="G274" s="133">
        <f>+SUM('12:25'!G274)</f>
        <v>0</v>
      </c>
      <c r="H274" s="133">
        <f>+SUM('12:25'!H274)</f>
        <v>0</v>
      </c>
      <c r="I274" s="133">
        <f>+SUM('12:25'!I274)</f>
        <v>0</v>
      </c>
      <c r="J274" s="133">
        <f>+SUM('12:25'!J274)</f>
        <v>0</v>
      </c>
      <c r="K274" s="137">
        <f t="shared" si="37"/>
        <v>0</v>
      </c>
      <c r="L274" s="137">
        <f t="shared" si="38"/>
        <v>0</v>
      </c>
      <c r="M274" s="137">
        <v>416.3</v>
      </c>
      <c r="N274" s="137">
        <f t="shared" si="45"/>
        <v>1.7131687242798355</v>
      </c>
      <c r="O274" s="133">
        <f>+SUM('12:25'!O274)</f>
        <v>0</v>
      </c>
      <c r="P274" s="137">
        <f t="shared" si="40"/>
        <v>0</v>
      </c>
      <c r="Q274" s="133">
        <f>+SUM('12:25'!Q274)</f>
        <v>0</v>
      </c>
      <c r="R274" s="19">
        <f t="shared" si="41"/>
        <v>0</v>
      </c>
      <c r="S274" s="137">
        <f t="shared" si="42"/>
        <v>0</v>
      </c>
      <c r="T274" s="20">
        <v>2</v>
      </c>
      <c r="U274" s="133">
        <f>+SUM('12:25'!U274)</f>
        <v>0</v>
      </c>
      <c r="V274" s="143"/>
      <c r="W274" s="133">
        <f>+SUM('12:25'!W274)</f>
        <v>0</v>
      </c>
      <c r="X274" s="133">
        <f>+SUM('12:25'!X274)</f>
        <v>0</v>
      </c>
      <c r="Y274" s="133">
        <f>+SUM('12:25'!Y274)</f>
        <v>0</v>
      </c>
      <c r="Z274" s="133">
        <f>+SUM('12:25'!Z274)</f>
        <v>0</v>
      </c>
      <c r="AA274" s="133">
        <f>+SUM('12:25'!AA274)</f>
        <v>0</v>
      </c>
      <c r="AB274" s="133">
        <f>+SUM('12:25'!AB274)</f>
        <v>0</v>
      </c>
      <c r="AC274" s="133">
        <f>+SUM('12:25'!AC274)</f>
        <v>0</v>
      </c>
      <c r="AD274" s="1">
        <f t="shared" si="43"/>
        <v>0</v>
      </c>
      <c r="AE274" s="52">
        <v>124.36</v>
      </c>
      <c r="AF274" s="1">
        <f t="shared" si="44"/>
        <v>0</v>
      </c>
    </row>
    <row r="275" spans="1:32" s="2" customFormat="1" ht="21.95" customHeight="1">
      <c r="A275" s="140">
        <v>300332</v>
      </c>
      <c r="B275" s="135" t="s">
        <v>67</v>
      </c>
      <c r="C275" s="237" t="s">
        <v>83</v>
      </c>
      <c r="D275" s="238"/>
      <c r="E275" s="139" t="s">
        <v>85</v>
      </c>
      <c r="F275" s="141"/>
      <c r="G275" s="133">
        <f>+SUM('12:25'!G275)</f>
        <v>0</v>
      </c>
      <c r="H275" s="133">
        <f>+SUM('12:25'!H275)</f>
        <v>0</v>
      </c>
      <c r="I275" s="133">
        <f>+SUM('12:25'!I275)</f>
        <v>0</v>
      </c>
      <c r="J275" s="133">
        <f>+SUM('12:25'!J275)</f>
        <v>0</v>
      </c>
      <c r="K275" s="137">
        <f t="shared" si="37"/>
        <v>0</v>
      </c>
      <c r="L275" s="137">
        <f t="shared" si="38"/>
        <v>0</v>
      </c>
      <c r="M275" s="137">
        <v>416.3</v>
      </c>
      <c r="N275" s="137">
        <f t="shared" si="45"/>
        <v>1.7131687242798355</v>
      </c>
      <c r="O275" s="133">
        <f>+SUM('12:25'!O275)</f>
        <v>0</v>
      </c>
      <c r="P275" s="137">
        <f t="shared" si="40"/>
        <v>0</v>
      </c>
      <c r="Q275" s="133">
        <f>+SUM('12:25'!Q275)</f>
        <v>0</v>
      </c>
      <c r="R275" s="19">
        <f t="shared" si="41"/>
        <v>0</v>
      </c>
      <c r="S275" s="137">
        <f t="shared" si="42"/>
        <v>0</v>
      </c>
      <c r="T275" s="20">
        <v>2</v>
      </c>
      <c r="U275" s="133">
        <f>+SUM('12:25'!U275)</f>
        <v>0</v>
      </c>
      <c r="V275" s="143"/>
      <c r="W275" s="133">
        <f>+SUM('12:25'!W275)</f>
        <v>0</v>
      </c>
      <c r="X275" s="133">
        <f>+SUM('12:25'!X275)</f>
        <v>0</v>
      </c>
      <c r="Y275" s="133">
        <f>+SUM('12:25'!Y275)</f>
        <v>0</v>
      </c>
      <c r="Z275" s="133">
        <f>+SUM('12:25'!Z275)</f>
        <v>0</v>
      </c>
      <c r="AA275" s="133">
        <f>+SUM('12:25'!AA275)</f>
        <v>0</v>
      </c>
      <c r="AB275" s="133">
        <f>+SUM('12:25'!AB275)</f>
        <v>0</v>
      </c>
      <c r="AC275" s="133">
        <f>+SUM('12:25'!AC275)</f>
        <v>0</v>
      </c>
      <c r="AD275" s="1">
        <f t="shared" si="43"/>
        <v>0</v>
      </c>
      <c r="AE275" s="52">
        <v>124.36</v>
      </c>
      <c r="AF275" s="1">
        <f t="shared" si="44"/>
        <v>0</v>
      </c>
    </row>
    <row r="276" spans="1:32" s="2" customFormat="1" ht="21.95" customHeight="1">
      <c r="A276" s="140">
        <v>300333</v>
      </c>
      <c r="B276" s="135" t="s">
        <v>67</v>
      </c>
      <c r="C276" s="237" t="s">
        <v>86</v>
      </c>
      <c r="D276" s="238"/>
      <c r="E276" s="139" t="s">
        <v>84</v>
      </c>
      <c r="F276" s="141"/>
      <c r="G276" s="133">
        <f>+SUM('12:25'!G276)</f>
        <v>0</v>
      </c>
      <c r="H276" s="133">
        <f>+SUM('12:25'!H276)</f>
        <v>0</v>
      </c>
      <c r="I276" s="133">
        <f>+SUM('12:25'!I276)</f>
        <v>0</v>
      </c>
      <c r="J276" s="133">
        <f>+SUM('12:25'!J276)</f>
        <v>0</v>
      </c>
      <c r="K276" s="137">
        <f t="shared" si="37"/>
        <v>0</v>
      </c>
      <c r="L276" s="137">
        <f t="shared" si="38"/>
        <v>0</v>
      </c>
      <c r="M276" s="137">
        <v>416.3</v>
      </c>
      <c r="N276" s="137">
        <f t="shared" si="45"/>
        <v>1.7131687242798355</v>
      </c>
      <c r="O276" s="133">
        <f>+SUM('12:25'!O276)</f>
        <v>0</v>
      </c>
      <c r="P276" s="137">
        <f t="shared" si="40"/>
        <v>0</v>
      </c>
      <c r="Q276" s="133">
        <f>+SUM('12:25'!Q276)</f>
        <v>0</v>
      </c>
      <c r="R276" s="19">
        <f t="shared" si="41"/>
        <v>0</v>
      </c>
      <c r="S276" s="137">
        <f t="shared" si="42"/>
        <v>0</v>
      </c>
      <c r="T276" s="20">
        <v>2</v>
      </c>
      <c r="U276" s="133">
        <f>+SUM('12:25'!U276)</f>
        <v>0</v>
      </c>
      <c r="V276" s="143"/>
      <c r="W276" s="133">
        <f>+SUM('12:25'!W276)</f>
        <v>0</v>
      </c>
      <c r="X276" s="133">
        <f>+SUM('12:25'!X276)</f>
        <v>0</v>
      </c>
      <c r="Y276" s="133">
        <f>+SUM('12:25'!Y276)</f>
        <v>0</v>
      </c>
      <c r="Z276" s="133">
        <f>+SUM('12:25'!Z276)</f>
        <v>0</v>
      </c>
      <c r="AA276" s="133">
        <f>+SUM('12:25'!AA276)</f>
        <v>0</v>
      </c>
      <c r="AB276" s="133">
        <f>+SUM('12:25'!AB276)</f>
        <v>0</v>
      </c>
      <c r="AC276" s="133">
        <f>+SUM('12:25'!AC276)</f>
        <v>0</v>
      </c>
      <c r="AD276" s="1">
        <f t="shared" si="43"/>
        <v>0</v>
      </c>
      <c r="AE276" s="52"/>
      <c r="AF276" s="1">
        <f t="shared" si="44"/>
        <v>0</v>
      </c>
    </row>
    <row r="277" spans="1:32" s="2" customFormat="1" ht="21.95" customHeight="1">
      <c r="A277" s="140">
        <v>300334</v>
      </c>
      <c r="B277" s="135" t="s">
        <v>67</v>
      </c>
      <c r="C277" s="237" t="s">
        <v>86</v>
      </c>
      <c r="D277" s="238"/>
      <c r="E277" s="139" t="s">
        <v>85</v>
      </c>
      <c r="F277" s="141"/>
      <c r="G277" s="133">
        <f>+SUM('12:25'!G277)</f>
        <v>0</v>
      </c>
      <c r="H277" s="133">
        <f>+SUM('12:25'!H277)</f>
        <v>0</v>
      </c>
      <c r="I277" s="133">
        <f>+SUM('12:25'!I277)</f>
        <v>0</v>
      </c>
      <c r="J277" s="133">
        <f>+SUM('12:25'!J277)</f>
        <v>0</v>
      </c>
      <c r="K277" s="137">
        <f t="shared" si="37"/>
        <v>0</v>
      </c>
      <c r="L277" s="137">
        <f t="shared" si="38"/>
        <v>0</v>
      </c>
      <c r="M277" s="137">
        <v>416.3</v>
      </c>
      <c r="N277" s="137">
        <f t="shared" si="45"/>
        <v>1.7131687242798355</v>
      </c>
      <c r="O277" s="133">
        <f>+SUM('12:25'!O277)</f>
        <v>0</v>
      </c>
      <c r="P277" s="137">
        <f t="shared" si="40"/>
        <v>0</v>
      </c>
      <c r="Q277" s="133">
        <f>+SUM('12:25'!Q277)</f>
        <v>0</v>
      </c>
      <c r="R277" s="19">
        <f t="shared" si="41"/>
        <v>0</v>
      </c>
      <c r="S277" s="137">
        <f t="shared" si="42"/>
        <v>0</v>
      </c>
      <c r="T277" s="20">
        <v>2</v>
      </c>
      <c r="U277" s="133">
        <f>+SUM('12:25'!U277)</f>
        <v>0</v>
      </c>
      <c r="V277" s="143"/>
      <c r="W277" s="133">
        <f>+SUM('12:25'!W277)</f>
        <v>0</v>
      </c>
      <c r="X277" s="133">
        <f>+SUM('12:25'!X277)</f>
        <v>0</v>
      </c>
      <c r="Y277" s="133">
        <f>+SUM('12:25'!Y277)</f>
        <v>0</v>
      </c>
      <c r="Z277" s="133">
        <f>+SUM('12:25'!Z277)</f>
        <v>0</v>
      </c>
      <c r="AA277" s="133">
        <f>+SUM('12:25'!AA277)</f>
        <v>0</v>
      </c>
      <c r="AB277" s="133">
        <f>+SUM('12:25'!AB277)</f>
        <v>0</v>
      </c>
      <c r="AC277" s="133">
        <f>+SUM('12:25'!AC277)</f>
        <v>0</v>
      </c>
      <c r="AD277" s="1">
        <f t="shared" si="43"/>
        <v>0</v>
      </c>
      <c r="AE277" s="52"/>
      <c r="AF277" s="1">
        <f t="shared" si="44"/>
        <v>0</v>
      </c>
    </row>
    <row r="278" spans="1:32" s="2" customFormat="1" ht="21.95" customHeight="1">
      <c r="A278" s="140">
        <v>300335</v>
      </c>
      <c r="B278" s="135" t="s">
        <v>67</v>
      </c>
      <c r="C278" s="237" t="s">
        <v>86</v>
      </c>
      <c r="D278" s="238"/>
      <c r="E278" s="139" t="s">
        <v>49</v>
      </c>
      <c r="F278" s="141"/>
      <c r="G278" s="133">
        <f>+SUM('12:25'!G278)</f>
        <v>0</v>
      </c>
      <c r="H278" s="133">
        <f>+SUM('12:25'!H278)</f>
        <v>0</v>
      </c>
      <c r="I278" s="133">
        <f>+SUM('12:25'!I278)</f>
        <v>0</v>
      </c>
      <c r="J278" s="133">
        <f>+SUM('12:25'!J278)</f>
        <v>0</v>
      </c>
      <c r="K278" s="137">
        <f t="shared" si="37"/>
        <v>0</v>
      </c>
      <c r="L278" s="137">
        <f t="shared" si="38"/>
        <v>0</v>
      </c>
      <c r="M278" s="137">
        <v>416.3</v>
      </c>
      <c r="N278" s="137">
        <f t="shared" si="45"/>
        <v>1.7131687242798355</v>
      </c>
      <c r="O278" s="133">
        <f>+SUM('12:25'!O278)</f>
        <v>0</v>
      </c>
      <c r="P278" s="137">
        <f t="shared" si="40"/>
        <v>0</v>
      </c>
      <c r="Q278" s="133">
        <f>+SUM('12:25'!Q278)</f>
        <v>0</v>
      </c>
      <c r="R278" s="19">
        <f t="shared" si="41"/>
        <v>0</v>
      </c>
      <c r="S278" s="137">
        <f t="shared" si="42"/>
        <v>0</v>
      </c>
      <c r="T278" s="20">
        <v>2</v>
      </c>
      <c r="U278" s="133">
        <f>+SUM('12:25'!U278)</f>
        <v>0</v>
      </c>
      <c r="V278" s="143"/>
      <c r="W278" s="133">
        <f>+SUM('12:25'!W278)</f>
        <v>0</v>
      </c>
      <c r="X278" s="133">
        <f>+SUM('12:25'!X278)</f>
        <v>0</v>
      </c>
      <c r="Y278" s="133">
        <f>+SUM('12:25'!Y278)</f>
        <v>0</v>
      </c>
      <c r="Z278" s="133">
        <f>+SUM('12:25'!Z278)</f>
        <v>0</v>
      </c>
      <c r="AA278" s="133">
        <f>+SUM('12:25'!AA278)</f>
        <v>0</v>
      </c>
      <c r="AB278" s="133">
        <f>+SUM('12:25'!AB278)</f>
        <v>0</v>
      </c>
      <c r="AC278" s="133">
        <f>+SUM('12:25'!AC278)</f>
        <v>0</v>
      </c>
      <c r="AD278" s="1">
        <f t="shared" si="43"/>
        <v>0</v>
      </c>
      <c r="AE278" s="52"/>
      <c r="AF278" s="1">
        <f t="shared" si="44"/>
        <v>0</v>
      </c>
    </row>
    <row r="279" spans="1:32" s="2" customFormat="1" ht="21.95" customHeight="1">
      <c r="A279" s="140">
        <v>300291</v>
      </c>
      <c r="B279" s="135" t="s">
        <v>87</v>
      </c>
      <c r="C279" s="226" t="s">
        <v>88</v>
      </c>
      <c r="D279" s="226" t="s">
        <v>89</v>
      </c>
      <c r="E279" s="139" t="s">
        <v>42</v>
      </c>
      <c r="F279" s="141"/>
      <c r="G279" s="133">
        <f>+SUM('12:25'!G279)</f>
        <v>0</v>
      </c>
      <c r="H279" s="133">
        <f>+SUM('12:25'!H279)</f>
        <v>0</v>
      </c>
      <c r="I279" s="133">
        <f>+SUM('12:25'!I279)</f>
        <v>0</v>
      </c>
      <c r="J279" s="133">
        <f>+SUM('12:25'!J279)</f>
        <v>0</v>
      </c>
      <c r="K279" s="137">
        <f t="shared" si="37"/>
        <v>0</v>
      </c>
      <c r="L279" s="137">
        <f t="shared" si="38"/>
        <v>0</v>
      </c>
      <c r="M279" s="137">
        <v>517.79999999999995</v>
      </c>
      <c r="N279" s="137">
        <f>+M279*1000/(66.6*1*110*60)*T279</f>
        <v>4.7119847119847122</v>
      </c>
      <c r="O279" s="133">
        <f>+SUM('12:25'!O279)</f>
        <v>0</v>
      </c>
      <c r="P279" s="137">
        <f t="shared" si="40"/>
        <v>0</v>
      </c>
      <c r="Q279" s="133">
        <f>+SUM('12:25'!Q279)</f>
        <v>0</v>
      </c>
      <c r="R279" s="19">
        <f t="shared" si="41"/>
        <v>0</v>
      </c>
      <c r="S279" s="137">
        <f t="shared" si="42"/>
        <v>0</v>
      </c>
      <c r="T279" s="20">
        <v>4</v>
      </c>
      <c r="U279" s="133">
        <f>+SUM('12:25'!U279)</f>
        <v>0</v>
      </c>
      <c r="V279" s="143" t="str">
        <f t="array" ref="V279">IF(ISERROR(L279/K279),"",L279/K279)</f>
        <v/>
      </c>
      <c r="W279" s="133">
        <f>+SUM('12:25'!W279)</f>
        <v>0</v>
      </c>
      <c r="X279" s="133">
        <f>+SUM('12:25'!X279)</f>
        <v>0</v>
      </c>
      <c r="Y279" s="133">
        <f>+SUM('12:25'!Y279)</f>
        <v>0</v>
      </c>
      <c r="Z279" s="133">
        <f>+SUM('12:25'!Z279)</f>
        <v>0</v>
      </c>
      <c r="AA279" s="133">
        <f>+SUM('12:25'!AA279)</f>
        <v>0</v>
      </c>
      <c r="AB279" s="133">
        <f>+SUM('12:25'!AB279)</f>
        <v>0</v>
      </c>
      <c r="AC279" s="133">
        <f>+SUM('12:25'!AC279)</f>
        <v>0</v>
      </c>
      <c r="AD279" s="1">
        <f t="shared" si="43"/>
        <v>0</v>
      </c>
      <c r="AE279" s="52">
        <v>189.83</v>
      </c>
      <c r="AF279" s="1">
        <f t="shared" si="44"/>
        <v>0</v>
      </c>
    </row>
    <row r="280" spans="1:32" s="2" customFormat="1" ht="21.95" customHeight="1">
      <c r="A280" s="140">
        <v>300292</v>
      </c>
      <c r="B280" s="135" t="s">
        <v>87</v>
      </c>
      <c r="C280" s="226" t="s">
        <v>88</v>
      </c>
      <c r="D280" s="226" t="s">
        <v>89</v>
      </c>
      <c r="E280" s="139" t="s">
        <v>41</v>
      </c>
      <c r="F280" s="141"/>
      <c r="G280" s="133">
        <f>+SUM('12:25'!G280)</f>
        <v>0</v>
      </c>
      <c r="H280" s="133">
        <f>+SUM('12:25'!H280)</f>
        <v>0</v>
      </c>
      <c r="I280" s="133">
        <f>+SUM('12:25'!I280)</f>
        <v>0</v>
      </c>
      <c r="J280" s="133">
        <f>+SUM('12:25'!J280)</f>
        <v>0</v>
      </c>
      <c r="K280" s="137">
        <f t="shared" si="37"/>
        <v>0</v>
      </c>
      <c r="L280" s="137">
        <f t="shared" si="38"/>
        <v>0</v>
      </c>
      <c r="M280" s="137">
        <v>517.79999999999995</v>
      </c>
      <c r="N280" s="137">
        <f>+M280*1000/(66.8*1*110*60)*T280</f>
        <v>4.6978769733260748</v>
      </c>
      <c r="O280" s="133">
        <f>+SUM('12:25'!O280)</f>
        <v>0</v>
      </c>
      <c r="P280" s="137">
        <f t="shared" si="40"/>
        <v>0</v>
      </c>
      <c r="Q280" s="133">
        <f>+SUM('12:25'!Q280)</f>
        <v>0</v>
      </c>
      <c r="R280" s="19">
        <f t="shared" si="41"/>
        <v>0</v>
      </c>
      <c r="S280" s="137">
        <f t="shared" si="42"/>
        <v>0</v>
      </c>
      <c r="T280" s="20">
        <v>4</v>
      </c>
      <c r="U280" s="133">
        <f>+SUM('12:25'!U280)</f>
        <v>0</v>
      </c>
      <c r="V280" s="143" t="str">
        <f t="array" ref="V280">IF(ISERROR(L280/K280),"",L280/K280)</f>
        <v/>
      </c>
      <c r="W280" s="133">
        <f>+SUM('12:25'!W280)</f>
        <v>0</v>
      </c>
      <c r="X280" s="133">
        <f>+SUM('12:25'!X280)</f>
        <v>0</v>
      </c>
      <c r="Y280" s="133">
        <f>+SUM('12:25'!Y280)</f>
        <v>0</v>
      </c>
      <c r="Z280" s="133">
        <f>+SUM('12:25'!Z280)</f>
        <v>0</v>
      </c>
      <c r="AA280" s="133">
        <f>+SUM('12:25'!AA280)</f>
        <v>0</v>
      </c>
      <c r="AB280" s="133">
        <f>+SUM('12:25'!AB280)</f>
        <v>0</v>
      </c>
      <c r="AC280" s="133">
        <f>+SUM('12:25'!AC280)</f>
        <v>0</v>
      </c>
      <c r="AD280" s="1">
        <f t="shared" ref="AD280:AD343" si="46">+L280/1000</f>
        <v>0</v>
      </c>
      <c r="AE280" s="52">
        <v>189.83</v>
      </c>
      <c r="AF280" s="1">
        <f t="shared" ref="AF280:AF343" si="47">+AD280*AE280</f>
        <v>0</v>
      </c>
    </row>
    <row r="281" spans="1:32" s="2" customFormat="1" ht="21.95" customHeight="1">
      <c r="A281" s="140">
        <v>300293</v>
      </c>
      <c r="B281" s="135" t="s">
        <v>87</v>
      </c>
      <c r="C281" s="226" t="s">
        <v>88</v>
      </c>
      <c r="D281" s="226" t="s">
        <v>89</v>
      </c>
      <c r="E281" s="139" t="s">
        <v>57</v>
      </c>
      <c r="F281" s="141"/>
      <c r="G281" s="133">
        <f>+SUM('12:25'!G281)</f>
        <v>0</v>
      </c>
      <c r="H281" s="133">
        <f>+SUM('12:25'!H281)</f>
        <v>0</v>
      </c>
      <c r="I281" s="133">
        <f>+SUM('12:25'!I281)</f>
        <v>0</v>
      </c>
      <c r="J281" s="133">
        <f>+SUM('12:25'!J281)</f>
        <v>0</v>
      </c>
      <c r="K281" s="137">
        <f t="shared" si="37"/>
        <v>0</v>
      </c>
      <c r="L281" s="137">
        <f t="shared" si="38"/>
        <v>0</v>
      </c>
      <c r="M281" s="137">
        <v>517.9</v>
      </c>
      <c r="N281" s="137">
        <f>+M281*1000/(67.1*1*110*60)*T281</f>
        <v>4.6777762724111467</v>
      </c>
      <c r="O281" s="133">
        <f>+SUM('12:25'!O281)</f>
        <v>0</v>
      </c>
      <c r="P281" s="137">
        <f t="shared" si="40"/>
        <v>0</v>
      </c>
      <c r="Q281" s="133">
        <f>+SUM('12:25'!Q281)</f>
        <v>0</v>
      </c>
      <c r="R281" s="19">
        <f t="shared" si="41"/>
        <v>0</v>
      </c>
      <c r="S281" s="137">
        <f t="shared" si="42"/>
        <v>0</v>
      </c>
      <c r="T281" s="20">
        <v>4</v>
      </c>
      <c r="U281" s="133">
        <f>+SUM('12:25'!U281)</f>
        <v>0</v>
      </c>
      <c r="V281" s="143" t="str">
        <f t="array" ref="V281">IF(ISERROR(L281/K281),"",L281/K281)</f>
        <v/>
      </c>
      <c r="W281" s="133">
        <f>+SUM('12:25'!W281)</f>
        <v>0</v>
      </c>
      <c r="X281" s="133">
        <f>+SUM('12:25'!X281)</f>
        <v>0</v>
      </c>
      <c r="Y281" s="133">
        <f>+SUM('12:25'!Y281)</f>
        <v>0</v>
      </c>
      <c r="Z281" s="133">
        <f>+SUM('12:25'!Z281)</f>
        <v>0</v>
      </c>
      <c r="AA281" s="133">
        <f>+SUM('12:25'!AA281)</f>
        <v>0</v>
      </c>
      <c r="AB281" s="133">
        <f>+SUM('12:25'!AB281)</f>
        <v>0</v>
      </c>
      <c r="AC281" s="133">
        <f>+SUM('12:25'!AC281)</f>
        <v>0</v>
      </c>
      <c r="AD281" s="1">
        <f t="shared" si="46"/>
        <v>0</v>
      </c>
      <c r="AE281" s="52">
        <v>189.83</v>
      </c>
      <c r="AF281" s="1">
        <f t="shared" si="47"/>
        <v>0</v>
      </c>
    </row>
    <row r="282" spans="1:32" s="2" customFormat="1" ht="21.95" customHeight="1">
      <c r="A282" s="140">
        <v>300290</v>
      </c>
      <c r="B282" s="135" t="s">
        <v>87</v>
      </c>
      <c r="C282" s="226" t="s">
        <v>88</v>
      </c>
      <c r="D282" s="226" t="s">
        <v>89</v>
      </c>
      <c r="E282" s="139" t="s">
        <v>35</v>
      </c>
      <c r="F282" s="141"/>
      <c r="G282" s="133">
        <f>+SUM('12:25'!G282)</f>
        <v>0</v>
      </c>
      <c r="H282" s="133">
        <f>+SUM('12:25'!H282)</f>
        <v>0</v>
      </c>
      <c r="I282" s="133">
        <f>+SUM('12:25'!I282)</f>
        <v>0</v>
      </c>
      <c r="J282" s="133">
        <f>+SUM('12:25'!J282)</f>
        <v>0</v>
      </c>
      <c r="K282" s="137">
        <f t="shared" si="37"/>
        <v>0</v>
      </c>
      <c r="L282" s="137">
        <f t="shared" si="38"/>
        <v>0</v>
      </c>
      <c r="M282" s="137">
        <v>520</v>
      </c>
      <c r="N282" s="137">
        <f>+M282*1000/(67.5*1*110*60)*T282</f>
        <v>4.6689113355780023</v>
      </c>
      <c r="O282" s="133">
        <f>+SUM('12:25'!O282)</f>
        <v>0</v>
      </c>
      <c r="P282" s="137">
        <f t="shared" si="40"/>
        <v>0</v>
      </c>
      <c r="Q282" s="133">
        <f>+SUM('12:25'!Q282)</f>
        <v>0</v>
      </c>
      <c r="R282" s="19">
        <f t="shared" si="41"/>
        <v>0</v>
      </c>
      <c r="S282" s="137">
        <f t="shared" si="42"/>
        <v>0</v>
      </c>
      <c r="T282" s="20">
        <v>4</v>
      </c>
      <c r="U282" s="133">
        <f>+SUM('12:25'!U282)</f>
        <v>0</v>
      </c>
      <c r="V282" s="143" t="str">
        <f t="array" ref="V282">IF(ISERROR(L282/K282),"",L282/K282)</f>
        <v/>
      </c>
      <c r="W282" s="133">
        <f>+SUM('12:25'!W282)</f>
        <v>0</v>
      </c>
      <c r="X282" s="133">
        <f>+SUM('12:25'!X282)</f>
        <v>0</v>
      </c>
      <c r="Y282" s="133">
        <f>+SUM('12:25'!Y282)</f>
        <v>0</v>
      </c>
      <c r="Z282" s="133">
        <f>+SUM('12:25'!Z282)</f>
        <v>0</v>
      </c>
      <c r="AA282" s="133">
        <f>+SUM('12:25'!AA282)</f>
        <v>0</v>
      </c>
      <c r="AB282" s="133">
        <f>+SUM('12:25'!AB282)</f>
        <v>0</v>
      </c>
      <c r="AC282" s="133">
        <f>+SUM('12:25'!AC282)</f>
        <v>0</v>
      </c>
      <c r="AD282" s="1">
        <f t="shared" si="46"/>
        <v>0</v>
      </c>
      <c r="AE282" s="52">
        <v>189.83</v>
      </c>
      <c r="AF282" s="1">
        <f t="shared" si="47"/>
        <v>0</v>
      </c>
    </row>
    <row r="283" spans="1:32" s="2" customFormat="1" ht="21.95" customHeight="1">
      <c r="A283" s="140">
        <v>300389</v>
      </c>
      <c r="B283" s="135" t="s">
        <v>87</v>
      </c>
      <c r="C283" s="237" t="s">
        <v>90</v>
      </c>
      <c r="D283" s="238"/>
      <c r="E283" s="139" t="s">
        <v>35</v>
      </c>
      <c r="F283" s="141"/>
      <c r="G283" s="133">
        <f>+SUM('12:25'!G283)</f>
        <v>0</v>
      </c>
      <c r="H283" s="133">
        <f>+SUM('12:25'!H283)</f>
        <v>0</v>
      </c>
      <c r="I283" s="133">
        <f>+SUM('12:25'!I283)</f>
        <v>0</v>
      </c>
      <c r="J283" s="133">
        <f>+SUM('12:25'!J283)</f>
        <v>0</v>
      </c>
      <c r="K283" s="137">
        <f t="shared" si="37"/>
        <v>0</v>
      </c>
      <c r="L283" s="137">
        <f t="shared" si="38"/>
        <v>0</v>
      </c>
      <c r="M283" s="137">
        <v>429.4</v>
      </c>
      <c r="N283" s="137">
        <f>+M283*1000/(47*1*110*60)*T283</f>
        <v>5.5370728562217923</v>
      </c>
      <c r="O283" s="133">
        <f>+SUM('12:25'!O283)</f>
        <v>0</v>
      </c>
      <c r="P283" s="137">
        <f t="shared" si="40"/>
        <v>0</v>
      </c>
      <c r="Q283" s="133">
        <f>+SUM('12:25'!Q283)</f>
        <v>0</v>
      </c>
      <c r="R283" s="19">
        <f t="shared" si="41"/>
        <v>0</v>
      </c>
      <c r="S283" s="137">
        <f t="shared" si="42"/>
        <v>0</v>
      </c>
      <c r="T283" s="20">
        <v>4</v>
      </c>
      <c r="U283" s="133">
        <f>+SUM('12:25'!U283)</f>
        <v>0</v>
      </c>
      <c r="V283" s="143" t="str">
        <f t="array" ref="V283">IF(ISERROR(L283/K283),"",L283/K283)</f>
        <v/>
      </c>
      <c r="W283" s="133">
        <f>+SUM('12:25'!W283)</f>
        <v>0</v>
      </c>
      <c r="X283" s="133">
        <f>+SUM('12:25'!X283)</f>
        <v>0</v>
      </c>
      <c r="Y283" s="133">
        <f>+SUM('12:25'!Y283)</f>
        <v>0</v>
      </c>
      <c r="Z283" s="133">
        <f>+SUM('12:25'!Z283)</f>
        <v>0</v>
      </c>
      <c r="AA283" s="133">
        <f>+SUM('12:25'!AA283)</f>
        <v>0</v>
      </c>
      <c r="AB283" s="133">
        <f>+SUM('12:25'!AB283)</f>
        <v>0</v>
      </c>
      <c r="AC283" s="133">
        <f>+SUM('12:25'!AC283)</f>
        <v>0</v>
      </c>
      <c r="AD283" s="1">
        <f t="shared" si="46"/>
        <v>0</v>
      </c>
      <c r="AE283" s="52"/>
      <c r="AF283" s="1">
        <f t="shared" si="47"/>
        <v>0</v>
      </c>
    </row>
    <row r="284" spans="1:32" s="2" customFormat="1" ht="21.95" customHeight="1">
      <c r="A284" s="140">
        <v>300058</v>
      </c>
      <c r="B284" s="135" t="s">
        <v>87</v>
      </c>
      <c r="C284" s="226" t="s">
        <v>91</v>
      </c>
      <c r="D284" s="226" t="s">
        <v>89</v>
      </c>
      <c r="E284" s="139" t="s">
        <v>42</v>
      </c>
      <c r="F284" s="141"/>
      <c r="G284" s="133">
        <f>+SUM('12:25'!G284)</f>
        <v>0</v>
      </c>
      <c r="H284" s="133">
        <f>+SUM('12:25'!H284)</f>
        <v>0</v>
      </c>
      <c r="I284" s="133">
        <f>+SUM('12:25'!I284)</f>
        <v>0</v>
      </c>
      <c r="J284" s="133">
        <f>+SUM('12:25'!J284)</f>
        <v>0</v>
      </c>
      <c r="K284" s="137">
        <f t="shared" si="37"/>
        <v>0</v>
      </c>
      <c r="L284" s="137">
        <f t="shared" si="38"/>
        <v>0</v>
      </c>
      <c r="M284" s="137">
        <v>419.2</v>
      </c>
      <c r="N284" s="137">
        <f>+M284*1000/(51.5*1*110*60)*T284</f>
        <v>4.9332156516622536</v>
      </c>
      <c r="O284" s="133">
        <f>+SUM('12:25'!O284)</f>
        <v>0</v>
      </c>
      <c r="P284" s="137">
        <f t="shared" si="40"/>
        <v>0</v>
      </c>
      <c r="Q284" s="133">
        <f>+SUM('12:25'!Q284)</f>
        <v>0</v>
      </c>
      <c r="R284" s="19">
        <f t="shared" si="41"/>
        <v>0</v>
      </c>
      <c r="S284" s="137">
        <f t="shared" si="42"/>
        <v>0</v>
      </c>
      <c r="T284" s="20">
        <v>4</v>
      </c>
      <c r="U284" s="133">
        <f>+SUM('12:25'!U284)</f>
        <v>0</v>
      </c>
      <c r="V284" s="143" t="str">
        <f t="array" ref="V284">IF(ISERROR(L284/K284),"",L284/K284)</f>
        <v/>
      </c>
      <c r="W284" s="133">
        <f>+SUM('12:25'!W284)</f>
        <v>0</v>
      </c>
      <c r="X284" s="133">
        <f>+SUM('12:25'!X284)</f>
        <v>0</v>
      </c>
      <c r="Y284" s="133">
        <f>+SUM('12:25'!Y284)</f>
        <v>0</v>
      </c>
      <c r="Z284" s="133">
        <f>+SUM('12:25'!Z284)</f>
        <v>0</v>
      </c>
      <c r="AA284" s="133">
        <f>+SUM('12:25'!AA284)</f>
        <v>0</v>
      </c>
      <c r="AB284" s="133">
        <f>+SUM('12:25'!AB284)</f>
        <v>0</v>
      </c>
      <c r="AC284" s="133">
        <f>+SUM('12:25'!AC284)</f>
        <v>0</v>
      </c>
      <c r="AD284" s="1">
        <f t="shared" si="46"/>
        <v>0</v>
      </c>
      <c r="AE284" s="52">
        <v>254.37</v>
      </c>
      <c r="AF284" s="1">
        <f t="shared" si="47"/>
        <v>0</v>
      </c>
    </row>
    <row r="285" spans="1:32" s="2" customFormat="1" ht="21.95" customHeight="1">
      <c r="A285" s="140">
        <v>300061</v>
      </c>
      <c r="B285" s="135" t="s">
        <v>87</v>
      </c>
      <c r="C285" s="226" t="s">
        <v>93</v>
      </c>
      <c r="D285" s="226" t="s">
        <v>94</v>
      </c>
      <c r="E285" s="139" t="s">
        <v>41</v>
      </c>
      <c r="F285" s="141"/>
      <c r="G285" s="133">
        <f>+SUM('12:25'!G285)</f>
        <v>0</v>
      </c>
      <c r="H285" s="133">
        <f>+SUM('12:25'!H285)</f>
        <v>0</v>
      </c>
      <c r="I285" s="133">
        <f>+SUM('12:25'!I285)</f>
        <v>0</v>
      </c>
      <c r="J285" s="133">
        <f>+SUM('12:25'!J285)</f>
        <v>0</v>
      </c>
      <c r="K285" s="137">
        <f t="shared" si="37"/>
        <v>0</v>
      </c>
      <c r="L285" s="137">
        <f t="shared" si="38"/>
        <v>0</v>
      </c>
      <c r="M285" s="137">
        <v>418.4</v>
      </c>
      <c r="N285" s="137">
        <f>+M285*1000/(51*1*110*60)*T285</f>
        <v>4.9720736779560308</v>
      </c>
      <c r="O285" s="133">
        <f>+SUM('12:25'!O285)</f>
        <v>0</v>
      </c>
      <c r="P285" s="137">
        <f t="shared" si="40"/>
        <v>0</v>
      </c>
      <c r="Q285" s="133">
        <f>+SUM('12:25'!Q285)</f>
        <v>0</v>
      </c>
      <c r="R285" s="19">
        <f t="shared" si="41"/>
        <v>0</v>
      </c>
      <c r="S285" s="137">
        <f t="shared" si="42"/>
        <v>0</v>
      </c>
      <c r="T285" s="20">
        <v>4</v>
      </c>
      <c r="U285" s="133">
        <f>+SUM('12:25'!U285)</f>
        <v>0</v>
      </c>
      <c r="V285" s="143" t="str">
        <f t="array" ref="V285">IF(ISERROR(L285/K285),"",L285/K285)</f>
        <v/>
      </c>
      <c r="W285" s="133">
        <f>+SUM('12:25'!W285)</f>
        <v>0</v>
      </c>
      <c r="X285" s="133">
        <f>+SUM('12:25'!X285)</f>
        <v>0</v>
      </c>
      <c r="Y285" s="133">
        <f>+SUM('12:25'!Y285)</f>
        <v>0</v>
      </c>
      <c r="Z285" s="133">
        <f>+SUM('12:25'!Z285)</f>
        <v>0</v>
      </c>
      <c r="AA285" s="133">
        <f>+SUM('12:25'!AA285)</f>
        <v>0</v>
      </c>
      <c r="AB285" s="133">
        <f>+SUM('12:25'!AB285)</f>
        <v>0</v>
      </c>
      <c r="AC285" s="133">
        <f>+SUM('12:25'!AC285)</f>
        <v>0</v>
      </c>
      <c r="AD285" s="1">
        <f t="shared" si="46"/>
        <v>0</v>
      </c>
      <c r="AE285" s="52">
        <v>254.37</v>
      </c>
      <c r="AF285" s="1">
        <f t="shared" si="47"/>
        <v>0</v>
      </c>
    </row>
    <row r="286" spans="1:32" s="2" customFormat="1" ht="21.95" customHeight="1">
      <c r="A286" s="140">
        <v>300064</v>
      </c>
      <c r="B286" s="135">
        <v>5002</v>
      </c>
      <c r="C286" s="226" t="s">
        <v>95</v>
      </c>
      <c r="D286" s="226" t="s">
        <v>96</v>
      </c>
      <c r="E286" s="139" t="s">
        <v>35</v>
      </c>
      <c r="F286" s="141"/>
      <c r="G286" s="133">
        <f>+SUM('12:25'!G286)</f>
        <v>0</v>
      </c>
      <c r="H286" s="133">
        <f>+SUM('12:25'!H286)</f>
        <v>0</v>
      </c>
      <c r="I286" s="133">
        <f>+SUM('12:25'!I286)</f>
        <v>0</v>
      </c>
      <c r="J286" s="133">
        <f>+SUM('12:25'!J286)</f>
        <v>0</v>
      </c>
      <c r="K286" s="137">
        <f t="shared" ref="K286:K362" si="48">G286*M286</f>
        <v>0</v>
      </c>
      <c r="L286" s="137">
        <f t="shared" ref="L286:L362" si="49">I286*M286</f>
        <v>0</v>
      </c>
      <c r="M286" s="137">
        <v>419.2</v>
      </c>
      <c r="N286" s="137">
        <f>+M286*1000/(51.9*1*110*60)*T286</f>
        <v>4.8951947217843168</v>
      </c>
      <c r="O286" s="133">
        <f>+SUM('12:25'!O286)</f>
        <v>0</v>
      </c>
      <c r="P286" s="137">
        <f t="shared" ref="P286:P362" si="50">N286*I286+O286*U286</f>
        <v>0</v>
      </c>
      <c r="Q286" s="133">
        <f>+SUM('12:25'!Q286)</f>
        <v>0</v>
      </c>
      <c r="R286" s="19">
        <f t="shared" ref="R286:R362" si="51">Q286*U286</f>
        <v>0</v>
      </c>
      <c r="S286" s="137">
        <f t="shared" ref="S286:S362" si="52">R286-P286</f>
        <v>0</v>
      </c>
      <c r="T286" s="20">
        <v>4</v>
      </c>
      <c r="U286" s="133">
        <f>+SUM('12:25'!U286)</f>
        <v>0</v>
      </c>
      <c r="V286" s="143" t="str">
        <f t="array" ref="V286">IF(ISERROR(L286/K286),"",L286/K286)</f>
        <v/>
      </c>
      <c r="W286" s="133">
        <f>+SUM('12:25'!W286)</f>
        <v>0</v>
      </c>
      <c r="X286" s="133">
        <f>+SUM('12:25'!X286)</f>
        <v>0</v>
      </c>
      <c r="Y286" s="133">
        <f>+SUM('12:25'!Y286)</f>
        <v>0</v>
      </c>
      <c r="Z286" s="133">
        <f>+SUM('12:25'!Z286)</f>
        <v>0</v>
      </c>
      <c r="AA286" s="133">
        <f>+SUM('12:25'!AA286)</f>
        <v>0</v>
      </c>
      <c r="AB286" s="133">
        <f>+SUM('12:25'!AB286)</f>
        <v>0</v>
      </c>
      <c r="AC286" s="133">
        <f>+SUM('12:25'!AC286)</f>
        <v>0</v>
      </c>
      <c r="AD286" s="1">
        <f t="shared" si="46"/>
        <v>0</v>
      </c>
      <c r="AE286" s="52">
        <v>254.37</v>
      </c>
      <c r="AF286" s="1">
        <f t="shared" si="47"/>
        <v>0</v>
      </c>
    </row>
    <row r="287" spans="1:32" s="2" customFormat="1" ht="21.95" customHeight="1">
      <c r="A287" s="140">
        <v>300060</v>
      </c>
      <c r="B287" s="135" t="s">
        <v>87</v>
      </c>
      <c r="C287" s="226" t="s">
        <v>93</v>
      </c>
      <c r="D287" s="226" t="s">
        <v>97</v>
      </c>
      <c r="E287" s="139" t="s">
        <v>57</v>
      </c>
      <c r="F287" s="141"/>
      <c r="G287" s="133">
        <f>+SUM('12:25'!G287)</f>
        <v>0</v>
      </c>
      <c r="H287" s="133">
        <f>+SUM('12:25'!H287)</f>
        <v>0</v>
      </c>
      <c r="I287" s="133">
        <f>+SUM('12:25'!I287)</f>
        <v>0</v>
      </c>
      <c r="J287" s="133">
        <f>+SUM('12:25'!J287)</f>
        <v>0</v>
      </c>
      <c r="K287" s="137">
        <f t="shared" si="48"/>
        <v>0</v>
      </c>
      <c r="L287" s="137">
        <f t="shared" si="49"/>
        <v>0</v>
      </c>
      <c r="M287" s="137">
        <v>416.9</v>
      </c>
      <c r="N287" s="137">
        <f>+M287*1000/(51*1*110*60)*T287</f>
        <v>4.9542483660130721</v>
      </c>
      <c r="O287" s="133">
        <f>+SUM('12:25'!O287)</f>
        <v>0</v>
      </c>
      <c r="P287" s="137">
        <f t="shared" si="50"/>
        <v>0</v>
      </c>
      <c r="Q287" s="133">
        <f>+SUM('12:25'!Q287)</f>
        <v>0</v>
      </c>
      <c r="R287" s="19">
        <f t="shared" si="51"/>
        <v>0</v>
      </c>
      <c r="S287" s="137">
        <f t="shared" si="52"/>
        <v>0</v>
      </c>
      <c r="T287" s="20">
        <v>4</v>
      </c>
      <c r="U287" s="133">
        <f>+SUM('12:25'!U287)</f>
        <v>0</v>
      </c>
      <c r="V287" s="143" t="str">
        <f t="array" ref="V287">IF(ISERROR(L287/K287),"",L287/K287)</f>
        <v/>
      </c>
      <c r="W287" s="133">
        <f>+SUM('12:25'!W287)</f>
        <v>0</v>
      </c>
      <c r="X287" s="133">
        <f>+SUM('12:25'!X287)</f>
        <v>0</v>
      </c>
      <c r="Y287" s="133">
        <f>+SUM('12:25'!Y287)</f>
        <v>0</v>
      </c>
      <c r="Z287" s="133">
        <f>+SUM('12:25'!Z287)</f>
        <v>0</v>
      </c>
      <c r="AA287" s="133">
        <f>+SUM('12:25'!AA287)</f>
        <v>0</v>
      </c>
      <c r="AB287" s="133">
        <f>+SUM('12:25'!AB287)</f>
        <v>0</v>
      </c>
      <c r="AC287" s="133">
        <f>+SUM('12:25'!AC287)</f>
        <v>0</v>
      </c>
      <c r="AD287" s="1">
        <f t="shared" si="46"/>
        <v>0</v>
      </c>
      <c r="AE287" s="52">
        <v>254.37</v>
      </c>
      <c r="AF287" s="1">
        <f t="shared" si="47"/>
        <v>0</v>
      </c>
    </row>
    <row r="288" spans="1:32" s="2" customFormat="1" ht="21.95" customHeight="1">
      <c r="A288" s="140">
        <v>300068</v>
      </c>
      <c r="B288" s="135" t="s">
        <v>87</v>
      </c>
      <c r="C288" s="226" t="s">
        <v>98</v>
      </c>
      <c r="D288" s="226" t="s">
        <v>99</v>
      </c>
      <c r="E288" s="139" t="s">
        <v>37</v>
      </c>
      <c r="F288" s="141"/>
      <c r="G288" s="133">
        <f>+SUM('12:25'!G288)</f>
        <v>0</v>
      </c>
      <c r="H288" s="133">
        <f>+SUM('12:25'!H288)</f>
        <v>0</v>
      </c>
      <c r="I288" s="133">
        <f>+SUM('12:25'!I288)</f>
        <v>0</v>
      </c>
      <c r="J288" s="133">
        <f>+SUM('12:25'!J288)</f>
        <v>0</v>
      </c>
      <c r="K288" s="137">
        <f t="shared" si="48"/>
        <v>0</v>
      </c>
      <c r="L288" s="137">
        <f t="shared" si="49"/>
        <v>0</v>
      </c>
      <c r="M288" s="137">
        <v>438.4</v>
      </c>
      <c r="N288" s="137">
        <f>+M288*1000/(50*1*120*60)*T288</f>
        <v>4.8711111111111114</v>
      </c>
      <c r="O288" s="133">
        <f>+SUM('12:25'!O288)</f>
        <v>0</v>
      </c>
      <c r="P288" s="137">
        <f t="shared" si="50"/>
        <v>0</v>
      </c>
      <c r="Q288" s="133">
        <f>+SUM('12:25'!Q288)</f>
        <v>0</v>
      </c>
      <c r="R288" s="19">
        <f t="shared" si="51"/>
        <v>0</v>
      </c>
      <c r="S288" s="137">
        <f t="shared" si="52"/>
        <v>0</v>
      </c>
      <c r="T288" s="20">
        <v>4</v>
      </c>
      <c r="U288" s="133">
        <f>+SUM('12:25'!U288)</f>
        <v>0</v>
      </c>
      <c r="V288" s="143" t="str">
        <f t="array" ref="V288">IF(ISERROR(L288/K288),"",L288/K288)</f>
        <v/>
      </c>
      <c r="W288" s="133">
        <f>+SUM('12:25'!W288)</f>
        <v>0</v>
      </c>
      <c r="X288" s="133">
        <f>+SUM('12:25'!X288)</f>
        <v>0</v>
      </c>
      <c r="Y288" s="133">
        <f>+SUM('12:25'!Y288)</f>
        <v>0</v>
      </c>
      <c r="Z288" s="133">
        <f>+SUM('12:25'!Z288)</f>
        <v>0</v>
      </c>
      <c r="AA288" s="133">
        <f>+SUM('12:25'!AA288)</f>
        <v>0</v>
      </c>
      <c r="AB288" s="133">
        <f>+SUM('12:25'!AB288)</f>
        <v>0</v>
      </c>
      <c r="AC288" s="133">
        <f>+SUM('12:25'!AC288)</f>
        <v>0</v>
      </c>
      <c r="AD288" s="1">
        <f t="shared" si="46"/>
        <v>0</v>
      </c>
      <c r="AE288" s="52">
        <v>237.93</v>
      </c>
      <c r="AF288" s="1">
        <f t="shared" si="47"/>
        <v>0</v>
      </c>
    </row>
    <row r="289" spans="1:32" s="2" customFormat="1" ht="21.95" customHeight="1">
      <c r="A289" s="140">
        <v>300065</v>
      </c>
      <c r="B289" s="135" t="s">
        <v>87</v>
      </c>
      <c r="C289" s="226" t="s">
        <v>98</v>
      </c>
      <c r="D289" s="226" t="s">
        <v>99</v>
      </c>
      <c r="E289" s="139" t="s">
        <v>35</v>
      </c>
      <c r="F289" s="141"/>
      <c r="G289" s="133">
        <f>+SUM('12:25'!G289)</f>
        <v>0</v>
      </c>
      <c r="H289" s="133">
        <f>+SUM('12:25'!H289)</f>
        <v>0</v>
      </c>
      <c r="I289" s="133">
        <f>+SUM('12:25'!I289)</f>
        <v>0</v>
      </c>
      <c r="J289" s="133">
        <f>+SUM('12:25'!J289)</f>
        <v>0</v>
      </c>
      <c r="K289" s="137">
        <f t="shared" si="48"/>
        <v>0</v>
      </c>
      <c r="L289" s="137">
        <f t="shared" si="49"/>
        <v>0</v>
      </c>
      <c r="M289" s="137">
        <v>438.8</v>
      </c>
      <c r="N289" s="137">
        <f>+M289*1000/(50*1*120*60)*T289</f>
        <v>4.8755555555555556</v>
      </c>
      <c r="O289" s="133">
        <f>+SUM('12:25'!O289)</f>
        <v>0</v>
      </c>
      <c r="P289" s="137">
        <f t="shared" si="50"/>
        <v>0</v>
      </c>
      <c r="Q289" s="133">
        <f>+SUM('12:25'!Q289)</f>
        <v>0</v>
      </c>
      <c r="R289" s="19">
        <f t="shared" si="51"/>
        <v>0</v>
      </c>
      <c r="S289" s="137">
        <f t="shared" si="52"/>
        <v>0</v>
      </c>
      <c r="T289" s="20">
        <v>4</v>
      </c>
      <c r="U289" s="133">
        <f>+SUM('12:25'!U289)</f>
        <v>0</v>
      </c>
      <c r="V289" s="143" t="str">
        <f t="array" ref="V289">IF(ISERROR(L289/K289),"",L289/K289)</f>
        <v/>
      </c>
      <c r="W289" s="133">
        <f>+SUM('12:25'!W289)</f>
        <v>0</v>
      </c>
      <c r="X289" s="133">
        <f>+SUM('12:25'!X289)</f>
        <v>0</v>
      </c>
      <c r="Y289" s="133">
        <f>+SUM('12:25'!Y289)</f>
        <v>0</v>
      </c>
      <c r="Z289" s="133">
        <f>+SUM('12:25'!Z289)</f>
        <v>0</v>
      </c>
      <c r="AA289" s="133">
        <f>+SUM('12:25'!AA289)</f>
        <v>0</v>
      </c>
      <c r="AB289" s="133">
        <f>+SUM('12:25'!AB289)</f>
        <v>0</v>
      </c>
      <c r="AC289" s="133">
        <f>+SUM('12:25'!AC289)</f>
        <v>0</v>
      </c>
      <c r="AD289" s="1">
        <f t="shared" si="46"/>
        <v>0</v>
      </c>
      <c r="AE289" s="52">
        <v>237.93</v>
      </c>
      <c r="AF289" s="1">
        <f t="shared" si="47"/>
        <v>0</v>
      </c>
    </row>
    <row r="290" spans="1:32" s="2" customFormat="1" ht="21.95" customHeight="1">
      <c r="A290" s="140">
        <v>300066</v>
      </c>
      <c r="B290" s="135" t="s">
        <v>87</v>
      </c>
      <c r="C290" s="226" t="s">
        <v>98</v>
      </c>
      <c r="D290" s="226" t="s">
        <v>99</v>
      </c>
      <c r="E290" s="139" t="s">
        <v>66</v>
      </c>
      <c r="F290" s="141"/>
      <c r="G290" s="133">
        <f>+SUM('12:25'!G290)</f>
        <v>0</v>
      </c>
      <c r="H290" s="133">
        <f>+SUM('12:25'!H290)</f>
        <v>0</v>
      </c>
      <c r="I290" s="133">
        <f>+SUM('12:25'!I290)</f>
        <v>0</v>
      </c>
      <c r="J290" s="133">
        <f>+SUM('12:25'!J290)</f>
        <v>0</v>
      </c>
      <c r="K290" s="137">
        <f t="shared" si="48"/>
        <v>0</v>
      </c>
      <c r="L290" s="137">
        <f t="shared" si="49"/>
        <v>0</v>
      </c>
      <c r="M290" s="137">
        <v>438.4</v>
      </c>
      <c r="N290" s="137">
        <f>+M290*1000/(50*1*120*60)*T290</f>
        <v>4.8711111111111114</v>
      </c>
      <c r="O290" s="133">
        <f>+SUM('12:25'!O290)</f>
        <v>0</v>
      </c>
      <c r="P290" s="137">
        <f t="shared" si="50"/>
        <v>0</v>
      </c>
      <c r="Q290" s="133">
        <f>+SUM('12:25'!Q290)</f>
        <v>0</v>
      </c>
      <c r="R290" s="19">
        <f t="shared" si="51"/>
        <v>0</v>
      </c>
      <c r="S290" s="137">
        <f t="shared" si="52"/>
        <v>0</v>
      </c>
      <c r="T290" s="20">
        <v>4</v>
      </c>
      <c r="U290" s="133">
        <f>+SUM('12:25'!U290)</f>
        <v>0</v>
      </c>
      <c r="V290" s="143"/>
      <c r="W290" s="133">
        <f>+SUM('12:25'!W290)</f>
        <v>0</v>
      </c>
      <c r="X290" s="133">
        <f>+SUM('12:25'!X290)</f>
        <v>0</v>
      </c>
      <c r="Y290" s="133">
        <f>+SUM('12:25'!Y290)</f>
        <v>0</v>
      </c>
      <c r="Z290" s="133">
        <f>+SUM('12:25'!Z290)</f>
        <v>0</v>
      </c>
      <c r="AA290" s="133">
        <f>+SUM('12:25'!AA290)</f>
        <v>0</v>
      </c>
      <c r="AB290" s="133">
        <f>+SUM('12:25'!AB290)</f>
        <v>0</v>
      </c>
      <c r="AC290" s="133">
        <f>+SUM('12:25'!AC290)</f>
        <v>0</v>
      </c>
      <c r="AD290" s="1">
        <f t="shared" si="46"/>
        <v>0</v>
      </c>
      <c r="AE290" s="52">
        <v>237.93</v>
      </c>
      <c r="AF290" s="1">
        <f t="shared" si="47"/>
        <v>0</v>
      </c>
    </row>
    <row r="291" spans="1:32" s="2" customFormat="1" ht="21.95" customHeight="1">
      <c r="A291" s="140">
        <v>300067</v>
      </c>
      <c r="B291" s="135" t="s">
        <v>87</v>
      </c>
      <c r="C291" s="226" t="s">
        <v>98</v>
      </c>
      <c r="D291" s="226" t="s">
        <v>99</v>
      </c>
      <c r="E291" s="139" t="s">
        <v>41</v>
      </c>
      <c r="F291" s="141"/>
      <c r="G291" s="133">
        <f>+SUM('12:25'!G291)</f>
        <v>0</v>
      </c>
      <c r="H291" s="133">
        <f>+SUM('12:25'!H291)</f>
        <v>0</v>
      </c>
      <c r="I291" s="133">
        <f>+SUM('12:25'!I291)</f>
        <v>0</v>
      </c>
      <c r="J291" s="133">
        <f>+SUM('12:25'!J291)</f>
        <v>0</v>
      </c>
      <c r="K291" s="137">
        <f t="shared" si="48"/>
        <v>0</v>
      </c>
      <c r="L291" s="137">
        <f t="shared" si="49"/>
        <v>0</v>
      </c>
      <c r="M291" s="137">
        <v>438.8</v>
      </c>
      <c r="N291" s="137">
        <f>+M291*1000/(50*1*120*60)*T291</f>
        <v>4.8755555555555556</v>
      </c>
      <c r="O291" s="133">
        <f>+SUM('12:25'!O291)</f>
        <v>0</v>
      </c>
      <c r="P291" s="137">
        <f t="shared" si="50"/>
        <v>0</v>
      </c>
      <c r="Q291" s="133">
        <f>+SUM('12:25'!Q291)</f>
        <v>0</v>
      </c>
      <c r="R291" s="19">
        <f t="shared" si="51"/>
        <v>0</v>
      </c>
      <c r="S291" s="137">
        <f t="shared" si="52"/>
        <v>0</v>
      </c>
      <c r="T291" s="20">
        <v>4</v>
      </c>
      <c r="U291" s="133">
        <f>+SUM('12:25'!U291)</f>
        <v>0</v>
      </c>
      <c r="V291" s="143" t="str">
        <f t="array" ref="V291">IF(ISERROR(L291/K291),"",L291/K291)</f>
        <v/>
      </c>
      <c r="W291" s="133">
        <f>+SUM('12:25'!W291)</f>
        <v>0</v>
      </c>
      <c r="X291" s="133">
        <f>+SUM('12:25'!X291)</f>
        <v>0</v>
      </c>
      <c r="Y291" s="133">
        <f>+SUM('12:25'!Y291)</f>
        <v>0</v>
      </c>
      <c r="Z291" s="133">
        <f>+SUM('12:25'!Z291)</f>
        <v>0</v>
      </c>
      <c r="AA291" s="133">
        <f>+SUM('12:25'!AA291)</f>
        <v>0</v>
      </c>
      <c r="AB291" s="133">
        <f>+SUM('12:25'!AB291)</f>
        <v>0</v>
      </c>
      <c r="AC291" s="133">
        <f>+SUM('12:25'!AC291)</f>
        <v>0</v>
      </c>
      <c r="AD291" s="1">
        <f t="shared" si="46"/>
        <v>0</v>
      </c>
      <c r="AE291" s="52">
        <v>237.93</v>
      </c>
      <c r="AF291" s="1">
        <f t="shared" si="47"/>
        <v>0</v>
      </c>
    </row>
    <row r="292" spans="1:32" s="132" customFormat="1" ht="21.95" customHeight="1">
      <c r="A292" s="126">
        <v>300437</v>
      </c>
      <c r="B292" s="147" t="s">
        <v>87</v>
      </c>
      <c r="C292" s="239" t="s">
        <v>98</v>
      </c>
      <c r="D292" s="239" t="s">
        <v>99</v>
      </c>
      <c r="E292" s="42" t="s">
        <v>310</v>
      </c>
      <c r="F292" s="127"/>
      <c r="G292" s="133">
        <f>+SUM('12:25'!G292)</f>
        <v>0</v>
      </c>
      <c r="H292" s="133">
        <f>+SUM('12:25'!H292)</f>
        <v>0</v>
      </c>
      <c r="I292" s="133">
        <f>+SUM('12:25'!I292)</f>
        <v>0</v>
      </c>
      <c r="J292" s="133">
        <f>+SUM('12:25'!J292)</f>
        <v>0</v>
      </c>
      <c r="K292" s="15">
        <f t="shared" si="48"/>
        <v>0</v>
      </c>
      <c r="L292" s="15">
        <f t="shared" si="49"/>
        <v>0</v>
      </c>
      <c r="M292" s="15">
        <v>438.8</v>
      </c>
      <c r="N292" s="15">
        <f>+M292*1000/(50*1*120*60)*T292</f>
        <v>4.8755555555555556</v>
      </c>
      <c r="O292" s="133">
        <f>+SUM('12:25'!O292)</f>
        <v>0</v>
      </c>
      <c r="P292" s="15">
        <f t="shared" si="50"/>
        <v>0</v>
      </c>
      <c r="Q292" s="133">
        <f>+SUM('12:25'!Q292)</f>
        <v>0</v>
      </c>
      <c r="R292" s="129">
        <f t="shared" si="51"/>
        <v>0</v>
      </c>
      <c r="S292" s="15">
        <f t="shared" si="52"/>
        <v>0</v>
      </c>
      <c r="T292" s="130">
        <v>4</v>
      </c>
      <c r="U292" s="133">
        <f>+SUM('12:25'!U292)</f>
        <v>0</v>
      </c>
      <c r="V292" s="131"/>
      <c r="W292" s="133">
        <f>+SUM('12:25'!W292)</f>
        <v>0</v>
      </c>
      <c r="X292" s="133">
        <f>+SUM('12:25'!X292)</f>
        <v>0</v>
      </c>
      <c r="Y292" s="133">
        <f>+SUM('12:25'!Y292)</f>
        <v>0</v>
      </c>
      <c r="Z292" s="133">
        <f>+SUM('12:25'!Z292)</f>
        <v>0</v>
      </c>
      <c r="AA292" s="133">
        <f>+SUM('12:25'!AA292)</f>
        <v>0</v>
      </c>
      <c r="AB292" s="133">
        <f>+SUM('12:25'!AB292)</f>
        <v>0</v>
      </c>
      <c r="AC292" s="133">
        <f>+SUM('12:25'!AC292)</f>
        <v>0</v>
      </c>
      <c r="AD292" s="1">
        <f t="shared" si="46"/>
        <v>0</v>
      </c>
      <c r="AE292" s="185">
        <v>237.93</v>
      </c>
      <c r="AF292" s="1">
        <f t="shared" si="47"/>
        <v>0</v>
      </c>
    </row>
    <row r="293" spans="1:32" s="2" customFormat="1" ht="21.95" customHeight="1">
      <c r="A293" s="140">
        <v>300384</v>
      </c>
      <c r="B293" s="135" t="s">
        <v>87</v>
      </c>
      <c r="C293" s="226" t="s">
        <v>100</v>
      </c>
      <c r="D293" s="226" t="s">
        <v>101</v>
      </c>
      <c r="E293" s="139" t="s">
        <v>35</v>
      </c>
      <c r="F293" s="141"/>
      <c r="G293" s="133">
        <f>+SUM('12:25'!G293)</f>
        <v>2</v>
      </c>
      <c r="H293" s="133">
        <f>+SUM('12:25'!H293)</f>
        <v>0</v>
      </c>
      <c r="I293" s="133">
        <f>+SUM('12:25'!I293)</f>
        <v>2</v>
      </c>
      <c r="J293" s="133">
        <f>+SUM('12:25'!J293)</f>
        <v>0</v>
      </c>
      <c r="K293" s="137">
        <f t="shared" si="48"/>
        <v>831</v>
      </c>
      <c r="L293" s="137">
        <f t="shared" si="49"/>
        <v>831</v>
      </c>
      <c r="M293" s="137">
        <v>415.5</v>
      </c>
      <c r="N293" s="137">
        <f>+M293*1000/(51*1*110*60)*T293</f>
        <v>8.6408199643493759</v>
      </c>
      <c r="O293" s="133">
        <f>+SUM('12:25'!O293)</f>
        <v>0</v>
      </c>
      <c r="P293" s="137">
        <f t="shared" si="50"/>
        <v>17.281639928698752</v>
      </c>
      <c r="Q293" s="133">
        <f>+SUM('12:25'!Q293)</f>
        <v>3</v>
      </c>
      <c r="R293" s="19">
        <f t="shared" si="51"/>
        <v>12</v>
      </c>
      <c r="S293" s="137">
        <f t="shared" si="52"/>
        <v>-5.2816399286987519</v>
      </c>
      <c r="T293" s="20">
        <v>7</v>
      </c>
      <c r="U293" s="133">
        <f>+SUM('12:25'!U293)</f>
        <v>4</v>
      </c>
      <c r="V293" s="143">
        <f t="array" ref="V293">IF(ISERROR(L293/K293),"",L293/K293)</f>
        <v>1</v>
      </c>
      <c r="W293" s="133">
        <f>+SUM('12:25'!W293)</f>
        <v>0</v>
      </c>
      <c r="X293" s="133">
        <f>+SUM('12:25'!X293)</f>
        <v>0</v>
      </c>
      <c r="Y293" s="133">
        <f>+SUM('12:25'!Y293)</f>
        <v>0</v>
      </c>
      <c r="Z293" s="133">
        <f>+SUM('12:25'!Z293)</f>
        <v>0</v>
      </c>
      <c r="AA293" s="133">
        <f>+SUM('12:25'!AA293)</f>
        <v>7</v>
      </c>
      <c r="AB293" s="133">
        <f>+SUM('12:25'!AB293)</f>
        <v>0</v>
      </c>
      <c r="AC293" s="133">
        <f>+SUM('12:25'!AC293)</f>
        <v>0</v>
      </c>
      <c r="AD293" s="1">
        <f t="shared" si="46"/>
        <v>0.83099999999999996</v>
      </c>
      <c r="AE293" s="52">
        <v>249.38</v>
      </c>
      <c r="AF293" s="1">
        <f t="shared" si="47"/>
        <v>207.23478</v>
      </c>
    </row>
    <row r="294" spans="1:32" s="2" customFormat="1" ht="21.95" customHeight="1">
      <c r="A294" s="140">
        <v>300383</v>
      </c>
      <c r="B294" s="135" t="s">
        <v>87</v>
      </c>
      <c r="C294" s="226" t="s">
        <v>100</v>
      </c>
      <c r="D294" s="226" t="s">
        <v>102</v>
      </c>
      <c r="E294" s="139" t="s">
        <v>41</v>
      </c>
      <c r="F294" s="141"/>
      <c r="G294" s="133">
        <f>+SUM('12:25'!G294)</f>
        <v>2</v>
      </c>
      <c r="H294" s="133">
        <f>+SUM('12:25'!H294)</f>
        <v>0</v>
      </c>
      <c r="I294" s="133">
        <f>+SUM('12:25'!I294)</f>
        <v>2</v>
      </c>
      <c r="J294" s="133">
        <f>+SUM('12:25'!J294)</f>
        <v>0</v>
      </c>
      <c r="K294" s="137">
        <f t="shared" si="48"/>
        <v>831</v>
      </c>
      <c r="L294" s="137">
        <f t="shared" si="49"/>
        <v>831</v>
      </c>
      <c r="M294" s="137">
        <v>415.5</v>
      </c>
      <c r="N294" s="137">
        <f>+M294*1000/(51*1*110*60)*T294</f>
        <v>8.6408199643493759</v>
      </c>
      <c r="O294" s="133">
        <f>+SUM('12:25'!O294)</f>
        <v>0.5</v>
      </c>
      <c r="P294" s="137">
        <f t="shared" si="50"/>
        <v>19.281639928698752</v>
      </c>
      <c r="Q294" s="133">
        <f>+SUM('12:25'!Q294)</f>
        <v>2</v>
      </c>
      <c r="R294" s="19">
        <f t="shared" si="51"/>
        <v>8</v>
      </c>
      <c r="S294" s="137">
        <f t="shared" si="52"/>
        <v>-11.281639928698752</v>
      </c>
      <c r="T294" s="20">
        <v>7</v>
      </c>
      <c r="U294" s="133">
        <f>+SUM('12:25'!U294)</f>
        <v>4</v>
      </c>
      <c r="V294" s="143"/>
      <c r="W294" s="133">
        <f>+SUM('12:25'!W294)</f>
        <v>0</v>
      </c>
      <c r="X294" s="133">
        <f>+SUM('12:25'!X294)</f>
        <v>0</v>
      </c>
      <c r="Y294" s="133">
        <f>+SUM('12:25'!Y294)</f>
        <v>0</v>
      </c>
      <c r="Z294" s="133">
        <f>+SUM('12:25'!Z294)</f>
        <v>0</v>
      </c>
      <c r="AA294" s="133">
        <f>+SUM('12:25'!AA294)</f>
        <v>0</v>
      </c>
      <c r="AB294" s="133">
        <f>+SUM('12:25'!AB294)</f>
        <v>0</v>
      </c>
      <c r="AC294" s="133">
        <f>+SUM('12:25'!AC294)</f>
        <v>0</v>
      </c>
      <c r="AD294" s="1">
        <f t="shared" si="46"/>
        <v>0.83099999999999996</v>
      </c>
      <c r="AE294" s="52">
        <v>249.38</v>
      </c>
      <c r="AF294" s="1">
        <f t="shared" si="47"/>
        <v>207.23478</v>
      </c>
    </row>
    <row r="295" spans="1:32" s="2" customFormat="1" ht="21.95" customHeight="1">
      <c r="A295" s="140">
        <v>300386</v>
      </c>
      <c r="B295" s="135" t="s">
        <v>87</v>
      </c>
      <c r="C295" s="226" t="s">
        <v>100</v>
      </c>
      <c r="D295" s="226" t="s">
        <v>103</v>
      </c>
      <c r="E295" s="139" t="s">
        <v>66</v>
      </c>
      <c r="F295" s="141"/>
      <c r="G295" s="133">
        <f>+SUM('12:25'!G295)</f>
        <v>0</v>
      </c>
      <c r="H295" s="133">
        <f>+SUM('12:25'!H295)</f>
        <v>0</v>
      </c>
      <c r="I295" s="133">
        <f>+SUM('12:25'!I295)</f>
        <v>0</v>
      </c>
      <c r="J295" s="133">
        <f>+SUM('12:25'!J295)</f>
        <v>0</v>
      </c>
      <c r="K295" s="137">
        <f t="shared" si="48"/>
        <v>0</v>
      </c>
      <c r="L295" s="137">
        <f t="shared" si="49"/>
        <v>0</v>
      </c>
      <c r="M295" s="137">
        <v>415.5</v>
      </c>
      <c r="N295" s="137">
        <f>+M295*1000/(51*1*110*60)*T295</f>
        <v>8.6408199643493759</v>
      </c>
      <c r="O295" s="133">
        <f>+SUM('12:25'!O295)</f>
        <v>0</v>
      </c>
      <c r="P295" s="137">
        <f t="shared" si="50"/>
        <v>0</v>
      </c>
      <c r="Q295" s="133">
        <f>+SUM('12:25'!Q295)</f>
        <v>0</v>
      </c>
      <c r="R295" s="19">
        <f t="shared" si="51"/>
        <v>0</v>
      </c>
      <c r="S295" s="137">
        <f t="shared" si="52"/>
        <v>0</v>
      </c>
      <c r="T295" s="20">
        <v>7</v>
      </c>
      <c r="U295" s="133">
        <f>+SUM('12:25'!U295)</f>
        <v>0</v>
      </c>
      <c r="V295" s="143"/>
      <c r="W295" s="133">
        <f>+SUM('12:25'!W295)</f>
        <v>0</v>
      </c>
      <c r="X295" s="133">
        <f>+SUM('12:25'!X295)</f>
        <v>0</v>
      </c>
      <c r="Y295" s="133">
        <f>+SUM('12:25'!Y295)</f>
        <v>0</v>
      </c>
      <c r="Z295" s="133">
        <f>+SUM('12:25'!Z295)</f>
        <v>0</v>
      </c>
      <c r="AA295" s="133">
        <f>+SUM('12:25'!AA295)</f>
        <v>0</v>
      </c>
      <c r="AB295" s="133">
        <f>+SUM('12:25'!AB295)</f>
        <v>0</v>
      </c>
      <c r="AC295" s="133">
        <f>+SUM('12:25'!AC295)</f>
        <v>0</v>
      </c>
      <c r="AD295" s="1">
        <f t="shared" si="46"/>
        <v>0</v>
      </c>
      <c r="AE295" s="52">
        <v>249.38</v>
      </c>
      <c r="AF295" s="1">
        <f t="shared" si="47"/>
        <v>0</v>
      </c>
    </row>
    <row r="296" spans="1:32" s="2" customFormat="1" ht="21.95" customHeight="1">
      <c r="A296" s="140">
        <v>300385</v>
      </c>
      <c r="B296" s="135" t="s">
        <v>87</v>
      </c>
      <c r="C296" s="226" t="s">
        <v>100</v>
      </c>
      <c r="D296" s="226" t="s">
        <v>104</v>
      </c>
      <c r="E296" s="139" t="s">
        <v>105</v>
      </c>
      <c r="F296" s="141"/>
      <c r="G296" s="133">
        <f>+SUM('12:25'!G296)</f>
        <v>0</v>
      </c>
      <c r="H296" s="133">
        <f>+SUM('12:25'!H296)</f>
        <v>0</v>
      </c>
      <c r="I296" s="133">
        <f>+SUM('12:25'!I296)</f>
        <v>0</v>
      </c>
      <c r="J296" s="133">
        <f>+SUM('12:25'!J296)</f>
        <v>0</v>
      </c>
      <c r="K296" s="137">
        <f t="shared" si="48"/>
        <v>0</v>
      </c>
      <c r="L296" s="137">
        <f t="shared" si="49"/>
        <v>0</v>
      </c>
      <c r="M296" s="137">
        <v>415.5</v>
      </c>
      <c r="N296" s="137">
        <f>+M296*1000/(51*1*110*60)*T296</f>
        <v>8.6408199643493759</v>
      </c>
      <c r="O296" s="133">
        <f>+SUM('12:25'!O296)</f>
        <v>0</v>
      </c>
      <c r="P296" s="137">
        <f t="shared" si="50"/>
        <v>0</v>
      </c>
      <c r="Q296" s="133">
        <f>+SUM('12:25'!Q296)</f>
        <v>0</v>
      </c>
      <c r="R296" s="19">
        <f t="shared" si="51"/>
        <v>0</v>
      </c>
      <c r="S296" s="137">
        <f t="shared" si="52"/>
        <v>0</v>
      </c>
      <c r="T296" s="20">
        <v>7</v>
      </c>
      <c r="U296" s="133">
        <f>+SUM('12:25'!U296)</f>
        <v>0</v>
      </c>
      <c r="V296" s="143"/>
      <c r="W296" s="133">
        <f>+SUM('12:25'!W296)</f>
        <v>0</v>
      </c>
      <c r="X296" s="133">
        <f>+SUM('12:25'!X296)</f>
        <v>0</v>
      </c>
      <c r="Y296" s="133">
        <f>+SUM('12:25'!Y296)</f>
        <v>0</v>
      </c>
      <c r="Z296" s="133">
        <f>+SUM('12:25'!Z296)</f>
        <v>0</v>
      </c>
      <c r="AA296" s="133">
        <f>+SUM('12:25'!AA296)</f>
        <v>0</v>
      </c>
      <c r="AB296" s="133">
        <f>+SUM('12:25'!AB296)</f>
        <v>0</v>
      </c>
      <c r="AC296" s="133">
        <f>+SUM('12:25'!AC296)</f>
        <v>0</v>
      </c>
      <c r="AD296" s="1">
        <f t="shared" si="46"/>
        <v>0</v>
      </c>
      <c r="AE296" s="52">
        <v>249.38</v>
      </c>
      <c r="AF296" s="1">
        <f t="shared" si="47"/>
        <v>0</v>
      </c>
    </row>
    <row r="297" spans="1:32" s="2" customFormat="1" ht="21.95" customHeight="1">
      <c r="A297" s="140">
        <v>300352</v>
      </c>
      <c r="B297" s="135" t="s">
        <v>87</v>
      </c>
      <c r="C297" s="226" t="s">
        <v>106</v>
      </c>
      <c r="D297" s="226" t="s">
        <v>101</v>
      </c>
      <c r="E297" s="139" t="s">
        <v>35</v>
      </c>
      <c r="F297" s="141"/>
      <c r="G297" s="133">
        <f>+SUM('12:25'!G297)</f>
        <v>0</v>
      </c>
      <c r="H297" s="133">
        <f>+SUM('12:25'!H297)</f>
        <v>0</v>
      </c>
      <c r="I297" s="133">
        <f>+SUM('12:25'!I297)</f>
        <v>0</v>
      </c>
      <c r="J297" s="133">
        <f>+SUM('12:25'!J297)</f>
        <v>0</v>
      </c>
      <c r="K297" s="137">
        <f t="shared" si="48"/>
        <v>0</v>
      </c>
      <c r="L297" s="137">
        <f t="shared" si="49"/>
        <v>0</v>
      </c>
      <c r="M297" s="137">
        <v>515.9</v>
      </c>
      <c r="N297" s="137">
        <f>+M297*1000/(80*1*110*60)*T297</f>
        <v>6.8395833333333336</v>
      </c>
      <c r="O297" s="133">
        <f>+SUM('12:25'!O297)</f>
        <v>0</v>
      </c>
      <c r="P297" s="137">
        <f t="shared" si="50"/>
        <v>0</v>
      </c>
      <c r="Q297" s="133">
        <f>+SUM('12:25'!Q297)</f>
        <v>0</v>
      </c>
      <c r="R297" s="19">
        <f t="shared" si="51"/>
        <v>0</v>
      </c>
      <c r="S297" s="137">
        <f t="shared" si="52"/>
        <v>0</v>
      </c>
      <c r="T297" s="20">
        <v>7</v>
      </c>
      <c r="U297" s="133">
        <f>+SUM('12:25'!U297)</f>
        <v>0</v>
      </c>
      <c r="V297" s="143" t="str">
        <f t="array" ref="V297">IF(ISERROR(L297/K297),"",L297/K297)</f>
        <v/>
      </c>
      <c r="W297" s="133">
        <f>+SUM('12:25'!W297)</f>
        <v>0</v>
      </c>
      <c r="X297" s="133">
        <f>+SUM('12:25'!X297)</f>
        <v>0</v>
      </c>
      <c r="Y297" s="133">
        <f>+SUM('12:25'!Y297)</f>
        <v>0</v>
      </c>
      <c r="Z297" s="133">
        <f>+SUM('12:25'!Z297)</f>
        <v>0</v>
      </c>
      <c r="AA297" s="133">
        <f>+SUM('12:25'!AA297)</f>
        <v>0</v>
      </c>
      <c r="AB297" s="133">
        <f>+SUM('12:25'!AB297)</f>
        <v>0</v>
      </c>
      <c r="AC297" s="133">
        <f>+SUM('12:25'!AC297)</f>
        <v>0</v>
      </c>
      <c r="AD297" s="1">
        <f t="shared" si="46"/>
        <v>0</v>
      </c>
      <c r="AE297" s="52">
        <v>218.6</v>
      </c>
      <c r="AF297" s="1">
        <f t="shared" si="47"/>
        <v>0</v>
      </c>
    </row>
    <row r="298" spans="1:32" s="2" customFormat="1" ht="21.95" customHeight="1">
      <c r="A298" s="140">
        <v>300353</v>
      </c>
      <c r="B298" s="135" t="s">
        <v>87</v>
      </c>
      <c r="C298" s="226" t="s">
        <v>106</v>
      </c>
      <c r="D298" s="226" t="s">
        <v>101</v>
      </c>
      <c r="E298" s="139" t="s">
        <v>105</v>
      </c>
      <c r="F298" s="141"/>
      <c r="G298" s="133">
        <f>+SUM('12:25'!G298)</f>
        <v>0</v>
      </c>
      <c r="H298" s="133">
        <f>+SUM('12:25'!H298)</f>
        <v>0</v>
      </c>
      <c r="I298" s="133">
        <f>+SUM('12:25'!I298)</f>
        <v>0</v>
      </c>
      <c r="J298" s="133">
        <f>+SUM('12:25'!J298)</f>
        <v>0</v>
      </c>
      <c r="K298" s="137">
        <f t="shared" si="48"/>
        <v>0</v>
      </c>
      <c r="L298" s="137">
        <f t="shared" si="49"/>
        <v>0</v>
      </c>
      <c r="M298" s="137">
        <v>515.9</v>
      </c>
      <c r="N298" s="137">
        <f>+M298*1000/(80*1*110*60)*T298</f>
        <v>6.8395833333333336</v>
      </c>
      <c r="O298" s="133">
        <f>+SUM('12:25'!O298)</f>
        <v>0</v>
      </c>
      <c r="P298" s="137">
        <f t="shared" si="50"/>
        <v>0</v>
      </c>
      <c r="Q298" s="133">
        <f>+SUM('12:25'!Q298)</f>
        <v>0</v>
      </c>
      <c r="R298" s="19">
        <f t="shared" si="51"/>
        <v>0</v>
      </c>
      <c r="S298" s="137">
        <f t="shared" si="52"/>
        <v>0</v>
      </c>
      <c r="T298" s="20">
        <v>7</v>
      </c>
      <c r="U298" s="133">
        <f>+SUM('12:25'!U298)</f>
        <v>0</v>
      </c>
      <c r="V298" s="143" t="str">
        <f t="array" ref="V298">IF(ISERROR(L298/K298),"",L298/K298)</f>
        <v/>
      </c>
      <c r="W298" s="133">
        <f>+SUM('12:25'!W298)</f>
        <v>0</v>
      </c>
      <c r="X298" s="133">
        <f>+SUM('12:25'!X298)</f>
        <v>0</v>
      </c>
      <c r="Y298" s="133">
        <f>+SUM('12:25'!Y298)</f>
        <v>0</v>
      </c>
      <c r="Z298" s="133">
        <f>+SUM('12:25'!Z298)</f>
        <v>0</v>
      </c>
      <c r="AA298" s="133">
        <f>+SUM('12:25'!AA298)</f>
        <v>0</v>
      </c>
      <c r="AB298" s="133">
        <f>+SUM('12:25'!AB298)</f>
        <v>0</v>
      </c>
      <c r="AC298" s="133">
        <f>+SUM('12:25'!AC298)</f>
        <v>0</v>
      </c>
      <c r="AD298" s="1">
        <f t="shared" si="46"/>
        <v>0</v>
      </c>
      <c r="AE298" s="52">
        <v>218.6</v>
      </c>
      <c r="AF298" s="1">
        <f t="shared" si="47"/>
        <v>0</v>
      </c>
    </row>
    <row r="299" spans="1:32" s="2" customFormat="1" ht="21.95" customHeight="1">
      <c r="A299" s="140">
        <v>300351</v>
      </c>
      <c r="B299" s="135" t="s">
        <v>87</v>
      </c>
      <c r="C299" s="226" t="s">
        <v>106</v>
      </c>
      <c r="D299" s="226" t="s">
        <v>101</v>
      </c>
      <c r="E299" s="139" t="s">
        <v>41</v>
      </c>
      <c r="F299" s="141"/>
      <c r="G299" s="133">
        <f>+SUM('12:25'!G299)</f>
        <v>0</v>
      </c>
      <c r="H299" s="133">
        <f>+SUM('12:25'!H299)</f>
        <v>0</v>
      </c>
      <c r="I299" s="133">
        <f>+SUM('12:25'!I299)</f>
        <v>0</v>
      </c>
      <c r="J299" s="133">
        <f>+SUM('12:25'!J299)</f>
        <v>0</v>
      </c>
      <c r="K299" s="137">
        <f t="shared" si="48"/>
        <v>0</v>
      </c>
      <c r="L299" s="137">
        <f t="shared" si="49"/>
        <v>0</v>
      </c>
      <c r="M299" s="137">
        <v>515.9</v>
      </c>
      <c r="N299" s="137">
        <f>+M299*1000/(80*1*110*60)*T299</f>
        <v>6.8395833333333336</v>
      </c>
      <c r="O299" s="133">
        <f>+SUM('12:25'!O299)</f>
        <v>0</v>
      </c>
      <c r="P299" s="137">
        <f t="shared" si="50"/>
        <v>0</v>
      </c>
      <c r="Q299" s="133">
        <f>+SUM('12:25'!Q299)</f>
        <v>0</v>
      </c>
      <c r="R299" s="19">
        <f t="shared" si="51"/>
        <v>0</v>
      </c>
      <c r="S299" s="137">
        <f t="shared" si="52"/>
        <v>0</v>
      </c>
      <c r="T299" s="20">
        <v>7</v>
      </c>
      <c r="U299" s="133">
        <f>+SUM('12:25'!U299)</f>
        <v>0</v>
      </c>
      <c r="V299" s="143" t="str">
        <f t="array" ref="V299">IF(ISERROR(L299/K299),"",L299/K299)</f>
        <v/>
      </c>
      <c r="W299" s="133">
        <f>+SUM('12:25'!W299)</f>
        <v>0</v>
      </c>
      <c r="X299" s="133">
        <f>+SUM('12:25'!X299)</f>
        <v>0</v>
      </c>
      <c r="Y299" s="133">
        <f>+SUM('12:25'!Y299)</f>
        <v>0</v>
      </c>
      <c r="Z299" s="133">
        <f>+SUM('12:25'!Z299)</f>
        <v>0</v>
      </c>
      <c r="AA299" s="133">
        <f>+SUM('12:25'!AA299)</f>
        <v>0</v>
      </c>
      <c r="AB299" s="133">
        <f>+SUM('12:25'!AB299)</f>
        <v>0</v>
      </c>
      <c r="AC299" s="133">
        <f>+SUM('12:25'!AC299)</f>
        <v>0</v>
      </c>
      <c r="AD299" s="1">
        <f t="shared" si="46"/>
        <v>0</v>
      </c>
      <c r="AE299" s="52">
        <v>218.6</v>
      </c>
      <c r="AF299" s="1">
        <f t="shared" si="47"/>
        <v>0</v>
      </c>
    </row>
    <row r="300" spans="1:32" s="2" customFormat="1" ht="21.95" customHeight="1">
      <c r="A300" s="140">
        <v>300354</v>
      </c>
      <c r="B300" s="135" t="s">
        <v>87</v>
      </c>
      <c r="C300" s="226" t="s">
        <v>106</v>
      </c>
      <c r="D300" s="226" t="s">
        <v>101</v>
      </c>
      <c r="E300" s="139" t="s">
        <v>66</v>
      </c>
      <c r="F300" s="141"/>
      <c r="G300" s="133">
        <f>+SUM('12:25'!G300)</f>
        <v>0</v>
      </c>
      <c r="H300" s="133">
        <f>+SUM('12:25'!H300)</f>
        <v>0</v>
      </c>
      <c r="I300" s="133">
        <f>+SUM('12:25'!I300)</f>
        <v>0</v>
      </c>
      <c r="J300" s="133">
        <f>+SUM('12:25'!J300)</f>
        <v>0</v>
      </c>
      <c r="K300" s="137">
        <f t="shared" si="48"/>
        <v>0</v>
      </c>
      <c r="L300" s="137">
        <f t="shared" si="49"/>
        <v>0</v>
      </c>
      <c r="M300" s="137">
        <v>515.9</v>
      </c>
      <c r="N300" s="137">
        <f>+M300*1000/(80*1*110*60)*T300</f>
        <v>6.8395833333333336</v>
      </c>
      <c r="O300" s="133">
        <f>+SUM('12:25'!O300)</f>
        <v>0</v>
      </c>
      <c r="P300" s="137">
        <f t="shared" si="50"/>
        <v>0</v>
      </c>
      <c r="Q300" s="133">
        <f>+SUM('12:25'!Q300)</f>
        <v>0</v>
      </c>
      <c r="R300" s="19">
        <f t="shared" si="51"/>
        <v>0</v>
      </c>
      <c r="S300" s="137">
        <f t="shared" si="52"/>
        <v>0</v>
      </c>
      <c r="T300" s="20">
        <v>7</v>
      </c>
      <c r="U300" s="133">
        <f>+SUM('12:25'!U300)</f>
        <v>0</v>
      </c>
      <c r="V300" s="143" t="str">
        <f t="array" ref="V300">IF(ISERROR(L300/K300),"",L300/K300)</f>
        <v/>
      </c>
      <c r="W300" s="133">
        <f>+SUM('12:25'!W300)</f>
        <v>0</v>
      </c>
      <c r="X300" s="133">
        <f>+SUM('12:25'!X300)</f>
        <v>0</v>
      </c>
      <c r="Y300" s="133">
        <f>+SUM('12:25'!Y300)</f>
        <v>0</v>
      </c>
      <c r="Z300" s="133">
        <f>+SUM('12:25'!Z300)</f>
        <v>0</v>
      </c>
      <c r="AA300" s="133">
        <f>+SUM('12:25'!AA300)</f>
        <v>0</v>
      </c>
      <c r="AB300" s="133">
        <f>+SUM('12:25'!AB300)</f>
        <v>0</v>
      </c>
      <c r="AC300" s="133">
        <f>+SUM('12:25'!AC300)</f>
        <v>0</v>
      </c>
      <c r="AD300" s="1">
        <f t="shared" si="46"/>
        <v>0</v>
      </c>
      <c r="AE300" s="52">
        <v>218.6</v>
      </c>
      <c r="AF300" s="1">
        <f t="shared" si="47"/>
        <v>0</v>
      </c>
    </row>
    <row r="301" spans="1:32" s="2" customFormat="1" ht="21.95" customHeight="1">
      <c r="A301" s="140">
        <v>300250</v>
      </c>
      <c r="B301" s="135" t="s">
        <v>87</v>
      </c>
      <c r="C301" s="226" t="s">
        <v>107</v>
      </c>
      <c r="D301" s="226" t="s">
        <v>101</v>
      </c>
      <c r="E301" s="139" t="s">
        <v>35</v>
      </c>
      <c r="F301" s="141"/>
      <c r="G301" s="133">
        <f>+SUM('12:25'!G301)</f>
        <v>0</v>
      </c>
      <c r="H301" s="133">
        <f>+SUM('12:25'!H301)</f>
        <v>0</v>
      </c>
      <c r="I301" s="133">
        <f>+SUM('12:25'!I301)</f>
        <v>0</v>
      </c>
      <c r="J301" s="133">
        <f>+SUM('12:25'!J301)</f>
        <v>0</v>
      </c>
      <c r="K301" s="137">
        <f t="shared" si="48"/>
        <v>0</v>
      </c>
      <c r="L301" s="137">
        <f t="shared" si="49"/>
        <v>0</v>
      </c>
      <c r="M301" s="137">
        <v>412.5</v>
      </c>
      <c r="N301" s="137">
        <f>+M301*1000/(84*1*110*60)*T301</f>
        <v>5.2083333333333339</v>
      </c>
      <c r="O301" s="133">
        <f>+SUM('12:25'!O301)</f>
        <v>0</v>
      </c>
      <c r="P301" s="137">
        <f t="shared" si="50"/>
        <v>0</v>
      </c>
      <c r="Q301" s="133">
        <f>+SUM('12:25'!Q301)</f>
        <v>0</v>
      </c>
      <c r="R301" s="19">
        <f t="shared" si="51"/>
        <v>0</v>
      </c>
      <c r="S301" s="137">
        <f t="shared" si="52"/>
        <v>0</v>
      </c>
      <c r="T301" s="20">
        <v>7</v>
      </c>
      <c r="U301" s="133">
        <f>+SUM('12:25'!U301)</f>
        <v>0</v>
      </c>
      <c r="V301" s="143" t="str">
        <f t="array" ref="V301">IF(ISERROR(L301/K301),"",L301/K301)</f>
        <v/>
      </c>
      <c r="W301" s="133">
        <f>+SUM('12:25'!W301)</f>
        <v>0</v>
      </c>
      <c r="X301" s="133">
        <f>+SUM('12:25'!X301)</f>
        <v>0</v>
      </c>
      <c r="Y301" s="133">
        <f>+SUM('12:25'!Y301)</f>
        <v>0</v>
      </c>
      <c r="Z301" s="133">
        <f>+SUM('12:25'!Z301)</f>
        <v>0</v>
      </c>
      <c r="AA301" s="133">
        <f>+SUM('12:25'!AA301)</f>
        <v>0</v>
      </c>
      <c r="AB301" s="133">
        <f>+SUM('12:25'!AB301)</f>
        <v>0</v>
      </c>
      <c r="AC301" s="133">
        <f>+SUM('12:25'!AC301)</f>
        <v>0</v>
      </c>
      <c r="AD301" s="1">
        <f t="shared" si="46"/>
        <v>0</v>
      </c>
      <c r="AE301" s="52"/>
      <c r="AF301" s="1">
        <f t="shared" si="47"/>
        <v>0</v>
      </c>
    </row>
    <row r="302" spans="1:32" s="2" customFormat="1" ht="21.95" customHeight="1">
      <c r="A302" s="140">
        <v>300251</v>
      </c>
      <c r="B302" s="135" t="s">
        <v>87</v>
      </c>
      <c r="C302" s="226" t="s">
        <v>107</v>
      </c>
      <c r="D302" s="226" t="s">
        <v>101</v>
      </c>
      <c r="E302" s="139" t="s">
        <v>105</v>
      </c>
      <c r="F302" s="141"/>
      <c r="G302" s="133">
        <f>+SUM('12:25'!G302)</f>
        <v>0</v>
      </c>
      <c r="H302" s="133">
        <f>+SUM('12:25'!H302)</f>
        <v>0</v>
      </c>
      <c r="I302" s="133">
        <f>+SUM('12:25'!I302)</f>
        <v>0</v>
      </c>
      <c r="J302" s="133">
        <f>+SUM('12:25'!J302)</f>
        <v>0</v>
      </c>
      <c r="K302" s="137">
        <f t="shared" si="48"/>
        <v>0</v>
      </c>
      <c r="L302" s="137">
        <f t="shared" si="49"/>
        <v>0</v>
      </c>
      <c r="M302" s="137">
        <v>412.5</v>
      </c>
      <c r="N302" s="137">
        <f>+M302*1000/(84*1*110*60)*T302</f>
        <v>5.2083333333333339</v>
      </c>
      <c r="O302" s="133">
        <f>+SUM('12:25'!O302)</f>
        <v>0</v>
      </c>
      <c r="P302" s="137">
        <f t="shared" si="50"/>
        <v>0</v>
      </c>
      <c r="Q302" s="133">
        <f>+SUM('12:25'!Q302)</f>
        <v>0</v>
      </c>
      <c r="R302" s="19">
        <f t="shared" si="51"/>
        <v>0</v>
      </c>
      <c r="S302" s="137">
        <f t="shared" si="52"/>
        <v>0</v>
      </c>
      <c r="T302" s="20">
        <v>7</v>
      </c>
      <c r="U302" s="133">
        <f>+SUM('12:25'!U302)</f>
        <v>0</v>
      </c>
      <c r="V302" s="143" t="str">
        <f t="array" ref="V302">IF(ISERROR(L302/K302),"",L302/K302)</f>
        <v/>
      </c>
      <c r="W302" s="133">
        <f>+SUM('12:25'!W302)</f>
        <v>0</v>
      </c>
      <c r="X302" s="133">
        <f>+SUM('12:25'!X302)</f>
        <v>0</v>
      </c>
      <c r="Y302" s="133">
        <f>+SUM('12:25'!Y302)</f>
        <v>0</v>
      </c>
      <c r="Z302" s="133">
        <f>+SUM('12:25'!Z302)</f>
        <v>0</v>
      </c>
      <c r="AA302" s="133">
        <f>+SUM('12:25'!AA302)</f>
        <v>0</v>
      </c>
      <c r="AB302" s="133">
        <f>+SUM('12:25'!AB302)</f>
        <v>0</v>
      </c>
      <c r="AC302" s="133">
        <f>+SUM('12:25'!AC302)</f>
        <v>0</v>
      </c>
      <c r="AD302" s="1">
        <f t="shared" si="46"/>
        <v>0</v>
      </c>
      <c r="AE302" s="52"/>
      <c r="AF302" s="1">
        <f t="shared" si="47"/>
        <v>0</v>
      </c>
    </row>
    <row r="303" spans="1:32" s="2" customFormat="1" ht="21.95" customHeight="1">
      <c r="A303" s="140">
        <v>300254</v>
      </c>
      <c r="B303" s="135" t="s">
        <v>87</v>
      </c>
      <c r="C303" s="226" t="s">
        <v>107</v>
      </c>
      <c r="D303" s="226" t="s">
        <v>101</v>
      </c>
      <c r="E303" s="139" t="s">
        <v>41</v>
      </c>
      <c r="F303" s="141"/>
      <c r="G303" s="133">
        <f>+SUM('12:25'!G303)</f>
        <v>0</v>
      </c>
      <c r="H303" s="133">
        <f>+SUM('12:25'!H303)</f>
        <v>0</v>
      </c>
      <c r="I303" s="133">
        <f>+SUM('12:25'!I303)</f>
        <v>0</v>
      </c>
      <c r="J303" s="133">
        <f>+SUM('12:25'!J303)</f>
        <v>0</v>
      </c>
      <c r="K303" s="137">
        <f t="shared" si="48"/>
        <v>0</v>
      </c>
      <c r="L303" s="137">
        <f t="shared" si="49"/>
        <v>0</v>
      </c>
      <c r="M303" s="137">
        <v>412.5</v>
      </c>
      <c r="N303" s="137">
        <f>+M303*1000/(84*1*110*60)*T303</f>
        <v>5.2083333333333339</v>
      </c>
      <c r="O303" s="133">
        <f>+SUM('12:25'!O303)</f>
        <v>0</v>
      </c>
      <c r="P303" s="137">
        <f t="shared" si="50"/>
        <v>0</v>
      </c>
      <c r="Q303" s="133">
        <f>+SUM('12:25'!Q303)</f>
        <v>0</v>
      </c>
      <c r="R303" s="19">
        <f t="shared" si="51"/>
        <v>0</v>
      </c>
      <c r="S303" s="137">
        <f t="shared" si="52"/>
        <v>0</v>
      </c>
      <c r="T303" s="20">
        <v>7</v>
      </c>
      <c r="U303" s="133">
        <f>+SUM('12:25'!U303)</f>
        <v>0</v>
      </c>
      <c r="V303" s="143" t="str">
        <f t="array" ref="V303">IF(ISERROR(L303/K303),"",L303/K303)</f>
        <v/>
      </c>
      <c r="W303" s="133">
        <f>+SUM('12:25'!W303)</f>
        <v>0</v>
      </c>
      <c r="X303" s="133">
        <f>+SUM('12:25'!X303)</f>
        <v>0</v>
      </c>
      <c r="Y303" s="133">
        <f>+SUM('12:25'!Y303)</f>
        <v>0</v>
      </c>
      <c r="Z303" s="133">
        <f>+SUM('12:25'!Z303)</f>
        <v>0</v>
      </c>
      <c r="AA303" s="133">
        <f>+SUM('12:25'!AA303)</f>
        <v>0</v>
      </c>
      <c r="AB303" s="133">
        <f>+SUM('12:25'!AB303)</f>
        <v>0</v>
      </c>
      <c r="AC303" s="133">
        <f>+SUM('12:25'!AC303)</f>
        <v>0</v>
      </c>
      <c r="AD303" s="1">
        <f t="shared" si="46"/>
        <v>0</v>
      </c>
      <c r="AE303" s="52"/>
      <c r="AF303" s="1">
        <f t="shared" si="47"/>
        <v>0</v>
      </c>
    </row>
    <row r="304" spans="1:32" s="2" customFormat="1" ht="21.95" customHeight="1">
      <c r="A304" s="140">
        <v>300253</v>
      </c>
      <c r="B304" s="135" t="s">
        <v>87</v>
      </c>
      <c r="C304" s="226" t="s">
        <v>107</v>
      </c>
      <c r="D304" s="226" t="s">
        <v>101</v>
      </c>
      <c r="E304" s="139" t="s">
        <v>66</v>
      </c>
      <c r="F304" s="141"/>
      <c r="G304" s="133">
        <f>+SUM('12:25'!G304)</f>
        <v>0</v>
      </c>
      <c r="H304" s="133">
        <f>+SUM('12:25'!H304)</f>
        <v>0</v>
      </c>
      <c r="I304" s="133">
        <f>+SUM('12:25'!I304)</f>
        <v>0</v>
      </c>
      <c r="J304" s="133">
        <f>+SUM('12:25'!J304)</f>
        <v>0</v>
      </c>
      <c r="K304" s="137">
        <f t="shared" si="48"/>
        <v>0</v>
      </c>
      <c r="L304" s="137">
        <f t="shared" si="49"/>
        <v>0</v>
      </c>
      <c r="M304" s="137">
        <v>412.5</v>
      </c>
      <c r="N304" s="137">
        <f>+M304*1000/(84*1*110*60)*T304</f>
        <v>5.2083333333333339</v>
      </c>
      <c r="O304" s="133">
        <f>+SUM('12:25'!O304)</f>
        <v>0</v>
      </c>
      <c r="P304" s="137">
        <f t="shared" si="50"/>
        <v>0</v>
      </c>
      <c r="Q304" s="133">
        <f>+SUM('12:25'!Q304)</f>
        <v>0</v>
      </c>
      <c r="R304" s="19">
        <f t="shared" si="51"/>
        <v>0</v>
      </c>
      <c r="S304" s="137">
        <f t="shared" si="52"/>
        <v>0</v>
      </c>
      <c r="T304" s="20">
        <v>7</v>
      </c>
      <c r="U304" s="133">
        <f>+SUM('12:25'!U304)</f>
        <v>0</v>
      </c>
      <c r="V304" s="143" t="str">
        <f t="array" ref="V304">IF(ISERROR(L304/K304),"",L304/K304)</f>
        <v/>
      </c>
      <c r="W304" s="133">
        <f>+SUM('12:25'!W304)</f>
        <v>0</v>
      </c>
      <c r="X304" s="133">
        <f>+SUM('12:25'!X304)</f>
        <v>0</v>
      </c>
      <c r="Y304" s="133">
        <f>+SUM('12:25'!Y304)</f>
        <v>0</v>
      </c>
      <c r="Z304" s="133">
        <f>+SUM('12:25'!Z304)</f>
        <v>0</v>
      </c>
      <c r="AA304" s="133">
        <f>+SUM('12:25'!AA304)</f>
        <v>0</v>
      </c>
      <c r="AB304" s="133">
        <f>+SUM('12:25'!AB304)</f>
        <v>0</v>
      </c>
      <c r="AC304" s="133">
        <f>+SUM('12:25'!AC304)</f>
        <v>0</v>
      </c>
      <c r="AD304" s="1">
        <f t="shared" si="46"/>
        <v>0</v>
      </c>
      <c r="AE304" s="52"/>
      <c r="AF304" s="1">
        <f t="shared" si="47"/>
        <v>0</v>
      </c>
    </row>
    <row r="305" spans="1:32" s="2" customFormat="1" ht="23.25" customHeight="1">
      <c r="A305" s="140">
        <v>300255</v>
      </c>
      <c r="B305" s="135" t="s">
        <v>87</v>
      </c>
      <c r="C305" s="226" t="s">
        <v>107</v>
      </c>
      <c r="D305" s="226" t="s">
        <v>101</v>
      </c>
      <c r="E305" s="139" t="s">
        <v>108</v>
      </c>
      <c r="F305" s="141"/>
      <c r="G305" s="133">
        <f>+SUM('12:25'!G305)</f>
        <v>0</v>
      </c>
      <c r="H305" s="133">
        <f>+SUM('12:25'!H305)</f>
        <v>0</v>
      </c>
      <c r="I305" s="133">
        <f>+SUM('12:25'!I305)</f>
        <v>0</v>
      </c>
      <c r="J305" s="133">
        <f>+SUM('12:25'!J305)</f>
        <v>0</v>
      </c>
      <c r="K305" s="137">
        <f t="shared" si="48"/>
        <v>0</v>
      </c>
      <c r="L305" s="137">
        <f t="shared" si="49"/>
        <v>0</v>
      </c>
      <c r="M305" s="137">
        <v>412.5</v>
      </c>
      <c r="N305" s="137">
        <f>+M305*1000/(84*1*110*60)*T305</f>
        <v>5.2083333333333339</v>
      </c>
      <c r="O305" s="133">
        <f>+SUM('12:25'!O305)</f>
        <v>0</v>
      </c>
      <c r="P305" s="137">
        <f t="shared" si="50"/>
        <v>0</v>
      </c>
      <c r="Q305" s="133">
        <f>+SUM('12:25'!Q305)</f>
        <v>0</v>
      </c>
      <c r="R305" s="19">
        <f t="shared" si="51"/>
        <v>0</v>
      </c>
      <c r="S305" s="137">
        <f t="shared" si="52"/>
        <v>0</v>
      </c>
      <c r="T305" s="20">
        <v>7</v>
      </c>
      <c r="U305" s="133">
        <f>+SUM('12:25'!U305)</f>
        <v>0</v>
      </c>
      <c r="V305" s="143" t="str">
        <f t="array" ref="V305">IF(ISERROR(L305/K305),"",L305/K305)</f>
        <v/>
      </c>
      <c r="W305" s="133">
        <f>+SUM('12:25'!W305)</f>
        <v>0</v>
      </c>
      <c r="X305" s="133">
        <f>+SUM('12:25'!X305)</f>
        <v>0</v>
      </c>
      <c r="Y305" s="133">
        <f>+SUM('12:25'!Y305)</f>
        <v>0</v>
      </c>
      <c r="Z305" s="133">
        <f>+SUM('12:25'!Z305)</f>
        <v>0</v>
      </c>
      <c r="AA305" s="133">
        <f>+SUM('12:25'!AA305)</f>
        <v>0</v>
      </c>
      <c r="AB305" s="133">
        <f>+SUM('12:25'!AB305)</f>
        <v>0</v>
      </c>
      <c r="AC305" s="133">
        <f>+SUM('12:25'!AC305)</f>
        <v>0</v>
      </c>
      <c r="AD305" s="1">
        <f t="shared" si="46"/>
        <v>0</v>
      </c>
      <c r="AE305" s="52"/>
      <c r="AF305" s="1">
        <f t="shared" si="47"/>
        <v>0</v>
      </c>
    </row>
    <row r="306" spans="1:32" s="5" customFormat="1" ht="23.25" customHeight="1">
      <c r="A306" s="140">
        <v>300392</v>
      </c>
      <c r="B306" s="135" t="s">
        <v>87</v>
      </c>
      <c r="C306" s="237" t="s">
        <v>109</v>
      </c>
      <c r="D306" s="238"/>
      <c r="E306" s="139" t="s">
        <v>105</v>
      </c>
      <c r="F306" s="140"/>
      <c r="G306" s="133">
        <f>+SUM('12:25'!G306)</f>
        <v>0</v>
      </c>
      <c r="H306" s="133">
        <f>+SUM('12:25'!H306)</f>
        <v>0</v>
      </c>
      <c r="I306" s="133">
        <f>+SUM('12:25'!I306)</f>
        <v>0</v>
      </c>
      <c r="J306" s="133">
        <f>+SUM('12:25'!J306)</f>
        <v>0</v>
      </c>
      <c r="K306" s="137">
        <f t="shared" si="48"/>
        <v>0</v>
      </c>
      <c r="L306" s="137">
        <f t="shared" si="49"/>
        <v>0</v>
      </c>
      <c r="M306" s="137">
        <v>523</v>
      </c>
      <c r="N306" s="137">
        <f>+M306*1000/(98*1*80*60)*T306</f>
        <v>7.7827380952380958</v>
      </c>
      <c r="O306" s="133">
        <f>+SUM('12:25'!O306)</f>
        <v>0</v>
      </c>
      <c r="P306" s="137">
        <f t="shared" si="50"/>
        <v>0</v>
      </c>
      <c r="Q306" s="133">
        <f>+SUM('12:25'!Q306)</f>
        <v>0</v>
      </c>
      <c r="R306" s="19">
        <f t="shared" si="51"/>
        <v>0</v>
      </c>
      <c r="S306" s="137">
        <f t="shared" si="52"/>
        <v>0</v>
      </c>
      <c r="T306" s="20">
        <v>7</v>
      </c>
      <c r="U306" s="133">
        <f>+SUM('12:25'!U306)</f>
        <v>0</v>
      </c>
      <c r="V306" s="143" t="str">
        <f t="array" ref="V306">IF(ISERROR(L306/K306),"",L306/K306)</f>
        <v/>
      </c>
      <c r="W306" s="133">
        <f>+SUM('12:25'!W306)</f>
        <v>0</v>
      </c>
      <c r="X306" s="133">
        <f>+SUM('12:25'!X306)</f>
        <v>0</v>
      </c>
      <c r="Y306" s="133">
        <f>+SUM('12:25'!Y306)</f>
        <v>0</v>
      </c>
      <c r="Z306" s="133">
        <f>+SUM('12:25'!Z306)</f>
        <v>0</v>
      </c>
      <c r="AA306" s="133">
        <f>+SUM('12:25'!AA306)</f>
        <v>0</v>
      </c>
      <c r="AB306" s="133">
        <f>+SUM('12:25'!AB306)</f>
        <v>0</v>
      </c>
      <c r="AC306" s="133">
        <f>+SUM('12:25'!AC306)</f>
        <v>0</v>
      </c>
      <c r="AD306" s="1">
        <f t="shared" si="46"/>
        <v>0</v>
      </c>
      <c r="AE306" s="90">
        <v>186.75</v>
      </c>
      <c r="AF306" s="1">
        <f t="shared" si="47"/>
        <v>0</v>
      </c>
    </row>
    <row r="307" spans="1:32" s="2" customFormat="1" ht="21.95" customHeight="1">
      <c r="A307" s="140">
        <v>300088</v>
      </c>
      <c r="B307" s="135" t="s">
        <v>87</v>
      </c>
      <c r="C307" s="226" t="s">
        <v>110</v>
      </c>
      <c r="D307" s="226" t="s">
        <v>111</v>
      </c>
      <c r="E307" s="139" t="s">
        <v>39</v>
      </c>
      <c r="F307" s="141"/>
      <c r="G307" s="133">
        <f>+SUM('12:25'!G307)</f>
        <v>0</v>
      </c>
      <c r="H307" s="133">
        <f>+SUM('12:25'!H307)</f>
        <v>0</v>
      </c>
      <c r="I307" s="133">
        <f>+SUM('12:25'!I307)</f>
        <v>0</v>
      </c>
      <c r="J307" s="133">
        <f>+SUM('12:25'!J307)</f>
        <v>0</v>
      </c>
      <c r="K307" s="137">
        <f t="shared" si="48"/>
        <v>0</v>
      </c>
      <c r="L307" s="137">
        <f t="shared" si="49"/>
        <v>0</v>
      </c>
      <c r="M307" s="137">
        <v>617.79999999999995</v>
      </c>
      <c r="N307" s="137">
        <f>+M307*1000/(123*1*80*60)*T307</f>
        <v>3.1392276422764223</v>
      </c>
      <c r="O307" s="133">
        <f>+SUM('12:25'!O307)</f>
        <v>0</v>
      </c>
      <c r="P307" s="137">
        <f t="shared" si="50"/>
        <v>0</v>
      </c>
      <c r="Q307" s="133">
        <f>+SUM('12:25'!Q307)</f>
        <v>0</v>
      </c>
      <c r="R307" s="19">
        <f t="shared" si="51"/>
        <v>0</v>
      </c>
      <c r="S307" s="137">
        <f t="shared" si="52"/>
        <v>0</v>
      </c>
      <c r="T307" s="20">
        <v>3</v>
      </c>
      <c r="U307" s="133">
        <f>+SUM('12:25'!U307)</f>
        <v>0</v>
      </c>
      <c r="V307" s="143" t="str">
        <f t="array" ref="V307">IF(ISERROR(L307/K307),"",L307/K307)</f>
        <v/>
      </c>
      <c r="W307" s="133">
        <f>+SUM('12:25'!W307)</f>
        <v>0</v>
      </c>
      <c r="X307" s="133">
        <f>+SUM('12:25'!X307)</f>
        <v>0</v>
      </c>
      <c r="Y307" s="133">
        <f>+SUM('12:25'!Y307)</f>
        <v>0</v>
      </c>
      <c r="Z307" s="133">
        <f>+SUM('12:25'!Z307)</f>
        <v>0</v>
      </c>
      <c r="AA307" s="133">
        <f>+SUM('12:25'!AA307)</f>
        <v>0</v>
      </c>
      <c r="AB307" s="133">
        <f>+SUM('12:25'!AB307)</f>
        <v>0</v>
      </c>
      <c r="AC307" s="133">
        <f>+SUM('12:25'!AC307)</f>
        <v>0</v>
      </c>
      <c r="AD307" s="1">
        <f t="shared" si="46"/>
        <v>0</v>
      </c>
      <c r="AE307" s="52">
        <v>142.18</v>
      </c>
      <c r="AF307" s="1">
        <f t="shared" si="47"/>
        <v>0</v>
      </c>
    </row>
    <row r="308" spans="1:32" s="2" customFormat="1" ht="21.95" customHeight="1">
      <c r="A308" s="140">
        <v>300089</v>
      </c>
      <c r="B308" s="135" t="s">
        <v>87</v>
      </c>
      <c r="C308" s="226" t="s">
        <v>110</v>
      </c>
      <c r="D308" s="226" t="s">
        <v>111</v>
      </c>
      <c r="E308" s="139" t="s">
        <v>42</v>
      </c>
      <c r="F308" s="141"/>
      <c r="G308" s="133">
        <f>+SUM('12:25'!G308)</f>
        <v>0</v>
      </c>
      <c r="H308" s="133">
        <f>+SUM('12:25'!H308)</f>
        <v>0</v>
      </c>
      <c r="I308" s="133">
        <f>+SUM('12:25'!I308)</f>
        <v>0</v>
      </c>
      <c r="J308" s="133">
        <f>+SUM('12:25'!J308)</f>
        <v>0</v>
      </c>
      <c r="K308" s="137">
        <f t="shared" si="48"/>
        <v>0</v>
      </c>
      <c r="L308" s="137">
        <f t="shared" si="49"/>
        <v>0</v>
      </c>
      <c r="M308" s="137">
        <v>618.6</v>
      </c>
      <c r="N308" s="137">
        <f>+M308*1000/(124*1*80*60)*T308</f>
        <v>3.117943548387097</v>
      </c>
      <c r="O308" s="133">
        <f>+SUM('12:25'!O308)</f>
        <v>0</v>
      </c>
      <c r="P308" s="137">
        <f t="shared" si="50"/>
        <v>0</v>
      </c>
      <c r="Q308" s="133">
        <f>+SUM('12:25'!Q308)</f>
        <v>0</v>
      </c>
      <c r="R308" s="19">
        <f t="shared" si="51"/>
        <v>0</v>
      </c>
      <c r="S308" s="137">
        <f t="shared" si="52"/>
        <v>0</v>
      </c>
      <c r="T308" s="20">
        <v>3</v>
      </c>
      <c r="U308" s="133">
        <f>+SUM('12:25'!U308)</f>
        <v>0</v>
      </c>
      <c r="V308" s="143" t="str">
        <f t="array" ref="V308">IF(ISERROR(L308/K308),"",L308/K308)</f>
        <v/>
      </c>
      <c r="W308" s="133">
        <f>+SUM('12:25'!W308)</f>
        <v>0</v>
      </c>
      <c r="X308" s="133">
        <f>+SUM('12:25'!X308)</f>
        <v>0</v>
      </c>
      <c r="Y308" s="133">
        <f>+SUM('12:25'!Y308)</f>
        <v>0</v>
      </c>
      <c r="Z308" s="133">
        <f>+SUM('12:25'!Z308)</f>
        <v>0</v>
      </c>
      <c r="AA308" s="133">
        <f>+SUM('12:25'!AA308)</f>
        <v>0</v>
      </c>
      <c r="AB308" s="133">
        <f>+SUM('12:25'!AB308)</f>
        <v>0</v>
      </c>
      <c r="AC308" s="133">
        <f>+SUM('12:25'!AC308)</f>
        <v>0</v>
      </c>
      <c r="AD308" s="1">
        <f t="shared" si="46"/>
        <v>0</v>
      </c>
      <c r="AE308" s="52">
        <v>141.03</v>
      </c>
      <c r="AF308" s="1">
        <f t="shared" si="47"/>
        <v>0</v>
      </c>
    </row>
    <row r="309" spans="1:32" s="2" customFormat="1" ht="21.95" customHeight="1">
      <c r="A309" s="140">
        <v>300128</v>
      </c>
      <c r="B309" s="135" t="s">
        <v>87</v>
      </c>
      <c r="C309" s="226" t="s">
        <v>112</v>
      </c>
      <c r="D309" s="226" t="s">
        <v>113</v>
      </c>
      <c r="E309" s="139" t="s">
        <v>35</v>
      </c>
      <c r="F309" s="141"/>
      <c r="G309" s="133">
        <f>+SUM('12:25'!G309)</f>
        <v>0</v>
      </c>
      <c r="H309" s="133">
        <f>+SUM('12:25'!H309)</f>
        <v>0</v>
      </c>
      <c r="I309" s="133">
        <f>+SUM('12:25'!I309)</f>
        <v>0</v>
      </c>
      <c r="J309" s="133">
        <f>+SUM('12:25'!J309)</f>
        <v>0</v>
      </c>
      <c r="K309" s="137">
        <f t="shared" si="48"/>
        <v>0</v>
      </c>
      <c r="L309" s="137">
        <f t="shared" si="49"/>
        <v>0</v>
      </c>
      <c r="M309" s="137">
        <v>621.29999999999995</v>
      </c>
      <c r="N309" s="137">
        <f t="shared" ref="N309:N314" si="53">+M309*1000/(130.5*1*80*60)*T309</f>
        <v>3.9674329501915708</v>
      </c>
      <c r="O309" s="133">
        <f>+SUM('12:25'!O309)</f>
        <v>0</v>
      </c>
      <c r="P309" s="137">
        <f t="shared" si="50"/>
        <v>0</v>
      </c>
      <c r="Q309" s="133">
        <f>+SUM('12:25'!Q309)</f>
        <v>0</v>
      </c>
      <c r="R309" s="19">
        <f t="shared" si="51"/>
        <v>0</v>
      </c>
      <c r="S309" s="137">
        <f t="shared" si="52"/>
        <v>0</v>
      </c>
      <c r="T309" s="20">
        <v>4</v>
      </c>
      <c r="U309" s="133">
        <f>+SUM('12:25'!U309)</f>
        <v>0</v>
      </c>
      <c r="V309" s="143" t="str">
        <f t="array" ref="V309">IF(ISERROR(L309/K309),"",L309/K309)</f>
        <v/>
      </c>
      <c r="W309" s="133">
        <f>+SUM('12:25'!W309)</f>
        <v>0</v>
      </c>
      <c r="X309" s="133">
        <f>+SUM('12:25'!X309)</f>
        <v>0</v>
      </c>
      <c r="Y309" s="133">
        <f>+SUM('12:25'!Y309)</f>
        <v>0</v>
      </c>
      <c r="Z309" s="133">
        <f>+SUM('12:25'!Z309)</f>
        <v>0</v>
      </c>
      <c r="AA309" s="133">
        <f>+SUM('12:25'!AA309)</f>
        <v>0</v>
      </c>
      <c r="AB309" s="133">
        <f>+SUM('12:25'!AB309)</f>
        <v>0</v>
      </c>
      <c r="AC309" s="133">
        <f>+SUM('12:25'!AC309)</f>
        <v>0</v>
      </c>
      <c r="AD309" s="1">
        <f t="shared" si="46"/>
        <v>0</v>
      </c>
      <c r="AE309" s="52">
        <v>129.54</v>
      </c>
      <c r="AF309" s="1">
        <f t="shared" si="47"/>
        <v>0</v>
      </c>
    </row>
    <row r="310" spans="1:32" s="2" customFormat="1" ht="21.95" customHeight="1">
      <c r="A310" s="140">
        <v>300129</v>
      </c>
      <c r="B310" s="135" t="s">
        <v>87</v>
      </c>
      <c r="C310" s="226" t="s">
        <v>112</v>
      </c>
      <c r="D310" s="226" t="s">
        <v>113</v>
      </c>
      <c r="E310" s="139" t="s">
        <v>41</v>
      </c>
      <c r="F310" s="141"/>
      <c r="G310" s="133">
        <f>+SUM('12:25'!G310)</f>
        <v>0</v>
      </c>
      <c r="H310" s="133">
        <f>+SUM('12:25'!H310)</f>
        <v>0</v>
      </c>
      <c r="I310" s="133">
        <f>+SUM('12:25'!I310)</f>
        <v>0</v>
      </c>
      <c r="J310" s="133">
        <f>+SUM('12:25'!J310)</f>
        <v>0</v>
      </c>
      <c r="K310" s="137">
        <f t="shared" si="48"/>
        <v>0</v>
      </c>
      <c r="L310" s="137">
        <f t="shared" si="49"/>
        <v>0</v>
      </c>
      <c r="M310" s="137">
        <v>621.29999999999995</v>
      </c>
      <c r="N310" s="137">
        <f t="shared" si="53"/>
        <v>3.9674329501915708</v>
      </c>
      <c r="O310" s="133">
        <f>+SUM('12:25'!O310)</f>
        <v>0</v>
      </c>
      <c r="P310" s="137">
        <f t="shared" si="50"/>
        <v>0</v>
      </c>
      <c r="Q310" s="133">
        <f>+SUM('12:25'!Q310)</f>
        <v>0</v>
      </c>
      <c r="R310" s="19">
        <f t="shared" si="51"/>
        <v>0</v>
      </c>
      <c r="S310" s="137">
        <f t="shared" si="52"/>
        <v>0</v>
      </c>
      <c r="T310" s="20">
        <v>4</v>
      </c>
      <c r="U310" s="133">
        <f>+SUM('12:25'!U310)</f>
        <v>0</v>
      </c>
      <c r="V310" s="143" t="str">
        <f t="array" ref="V310">IF(ISERROR(L310/K310),"",L310/K310)</f>
        <v/>
      </c>
      <c r="W310" s="133">
        <f>+SUM('12:25'!W310)</f>
        <v>0</v>
      </c>
      <c r="X310" s="133">
        <f>+SUM('12:25'!X310)</f>
        <v>0</v>
      </c>
      <c r="Y310" s="133">
        <f>+SUM('12:25'!Y310)</f>
        <v>0</v>
      </c>
      <c r="Z310" s="133">
        <f>+SUM('12:25'!Z310)</f>
        <v>0</v>
      </c>
      <c r="AA310" s="133">
        <f>+SUM('12:25'!AA310)</f>
        <v>0</v>
      </c>
      <c r="AB310" s="133">
        <f>+SUM('12:25'!AB310)</f>
        <v>0</v>
      </c>
      <c r="AC310" s="133">
        <f>+SUM('12:25'!AC310)</f>
        <v>0</v>
      </c>
      <c r="AD310" s="1">
        <f t="shared" si="46"/>
        <v>0</v>
      </c>
      <c r="AE310" s="52">
        <v>129.54</v>
      </c>
      <c r="AF310" s="1">
        <f t="shared" si="47"/>
        <v>0</v>
      </c>
    </row>
    <row r="311" spans="1:32" s="2" customFormat="1" ht="21.95" customHeight="1">
      <c r="A311" s="140">
        <v>300130</v>
      </c>
      <c r="B311" s="135" t="s">
        <v>87</v>
      </c>
      <c r="C311" s="226" t="s">
        <v>112</v>
      </c>
      <c r="D311" s="226" t="s">
        <v>113</v>
      </c>
      <c r="E311" s="139" t="s">
        <v>37</v>
      </c>
      <c r="F311" s="141"/>
      <c r="G311" s="133">
        <f>+SUM('12:25'!G311)</f>
        <v>0</v>
      </c>
      <c r="H311" s="133">
        <f>+SUM('12:25'!H311)</f>
        <v>0</v>
      </c>
      <c r="I311" s="133">
        <f>+SUM('12:25'!I311)</f>
        <v>0</v>
      </c>
      <c r="J311" s="133">
        <f>+SUM('12:25'!J311)</f>
        <v>0</v>
      </c>
      <c r="K311" s="137">
        <f t="shared" si="48"/>
        <v>0</v>
      </c>
      <c r="L311" s="137">
        <f t="shared" si="49"/>
        <v>0</v>
      </c>
      <c r="M311" s="137">
        <v>621.29999999999995</v>
      </c>
      <c r="N311" s="137">
        <f t="shared" si="53"/>
        <v>3.9674329501915708</v>
      </c>
      <c r="O311" s="133">
        <f>+SUM('12:25'!O311)</f>
        <v>0</v>
      </c>
      <c r="P311" s="137">
        <f t="shared" si="50"/>
        <v>0</v>
      </c>
      <c r="Q311" s="133">
        <f>+SUM('12:25'!Q311)</f>
        <v>0</v>
      </c>
      <c r="R311" s="19">
        <f t="shared" si="51"/>
        <v>0</v>
      </c>
      <c r="S311" s="137">
        <f t="shared" si="52"/>
        <v>0</v>
      </c>
      <c r="T311" s="20">
        <v>4</v>
      </c>
      <c r="U311" s="133">
        <f>+SUM('12:25'!U311)</f>
        <v>0</v>
      </c>
      <c r="V311" s="143" t="str">
        <f t="array" ref="V311">IF(ISERROR(L311/K311),"",L311/K311)</f>
        <v/>
      </c>
      <c r="W311" s="133">
        <f>+SUM('12:25'!W311)</f>
        <v>0</v>
      </c>
      <c r="X311" s="133">
        <f>+SUM('12:25'!X311)</f>
        <v>0</v>
      </c>
      <c r="Y311" s="133">
        <f>+SUM('12:25'!Y311)</f>
        <v>0</v>
      </c>
      <c r="Z311" s="133">
        <f>+SUM('12:25'!Z311)</f>
        <v>0</v>
      </c>
      <c r="AA311" s="133">
        <f>+SUM('12:25'!AA311)</f>
        <v>0</v>
      </c>
      <c r="AB311" s="133">
        <f>+SUM('12:25'!AB311)</f>
        <v>0</v>
      </c>
      <c r="AC311" s="133">
        <f>+SUM('12:25'!AC311)</f>
        <v>0</v>
      </c>
      <c r="AD311" s="1">
        <f t="shared" si="46"/>
        <v>0</v>
      </c>
      <c r="AE311" s="52">
        <v>129.54</v>
      </c>
      <c r="AF311" s="1">
        <f t="shared" si="47"/>
        <v>0</v>
      </c>
    </row>
    <row r="312" spans="1:32" ht="21.95" customHeight="1">
      <c r="A312" s="140">
        <v>300423</v>
      </c>
      <c r="B312" s="135" t="s">
        <v>300</v>
      </c>
      <c r="C312" s="237" t="s">
        <v>296</v>
      </c>
      <c r="D312" s="238"/>
      <c r="E312" s="139" t="s">
        <v>297</v>
      </c>
      <c r="F312" s="13"/>
      <c r="G312" s="133">
        <f>+SUM('12:25'!G312)</f>
        <v>0</v>
      </c>
      <c r="H312" s="133">
        <f>+SUM('12:25'!H312)</f>
        <v>0</v>
      </c>
      <c r="I312" s="133">
        <f>+SUM('12:25'!I312)</f>
        <v>0</v>
      </c>
      <c r="J312" s="133">
        <f>+SUM('12:25'!J312)</f>
        <v>0</v>
      </c>
      <c r="K312" s="137">
        <f t="shared" si="48"/>
        <v>0</v>
      </c>
      <c r="L312" s="137">
        <f t="shared" si="49"/>
        <v>0</v>
      </c>
      <c r="M312" s="137">
        <v>524.1</v>
      </c>
      <c r="N312" s="137">
        <f t="shared" si="53"/>
        <v>3.3467432950191571</v>
      </c>
      <c r="O312" s="133">
        <f>+SUM('12:25'!O312)</f>
        <v>0</v>
      </c>
      <c r="P312" s="137">
        <f t="shared" si="50"/>
        <v>0</v>
      </c>
      <c r="Q312" s="133">
        <f>+SUM('12:25'!Q312)</f>
        <v>0</v>
      </c>
      <c r="R312" s="19">
        <f t="shared" si="51"/>
        <v>0</v>
      </c>
      <c r="S312" s="137">
        <f t="shared" si="52"/>
        <v>0</v>
      </c>
      <c r="T312" s="20">
        <v>4</v>
      </c>
      <c r="U312" s="133">
        <f>+SUM('12:25'!U312)</f>
        <v>0</v>
      </c>
      <c r="V312" s="143"/>
      <c r="W312" s="133">
        <f>+SUM('12:25'!W312)</f>
        <v>0</v>
      </c>
      <c r="X312" s="133">
        <f>+SUM('12:25'!X312)</f>
        <v>0</v>
      </c>
      <c r="Y312" s="133">
        <f>+SUM('12:25'!Y312)</f>
        <v>0</v>
      </c>
      <c r="Z312" s="133">
        <f>+SUM('12:25'!Z312)</f>
        <v>0</v>
      </c>
      <c r="AA312" s="133">
        <f>+SUM('12:25'!AA312)</f>
        <v>0</v>
      </c>
      <c r="AB312" s="133">
        <f>+SUM('12:25'!AB312)</f>
        <v>0</v>
      </c>
      <c r="AC312" s="133">
        <f>+SUM('12:25'!AC312)</f>
        <v>0</v>
      </c>
      <c r="AD312" s="1">
        <f t="shared" si="46"/>
        <v>0</v>
      </c>
      <c r="AE312" s="1">
        <v>186.75</v>
      </c>
      <c r="AF312" s="1">
        <f t="shared" si="47"/>
        <v>0</v>
      </c>
    </row>
    <row r="313" spans="1:32" ht="21.95" customHeight="1">
      <c r="A313" s="140">
        <v>300424</v>
      </c>
      <c r="B313" s="135" t="s">
        <v>300</v>
      </c>
      <c r="C313" s="237" t="s">
        <v>296</v>
      </c>
      <c r="D313" s="238"/>
      <c r="E313" s="139" t="s">
        <v>298</v>
      </c>
      <c r="F313" s="13"/>
      <c r="G313" s="133">
        <f>+SUM('12:25'!G313)</f>
        <v>3</v>
      </c>
      <c r="H313" s="133">
        <f>+SUM('12:25'!H313)</f>
        <v>0</v>
      </c>
      <c r="I313" s="133">
        <f>+SUM('12:25'!I313)</f>
        <v>3</v>
      </c>
      <c r="J313" s="133">
        <f>+SUM('12:25'!J313)</f>
        <v>0</v>
      </c>
      <c r="K313" s="137">
        <f t="shared" si="48"/>
        <v>1572.3000000000002</v>
      </c>
      <c r="L313" s="137">
        <f t="shared" si="49"/>
        <v>1572.3000000000002</v>
      </c>
      <c r="M313" s="137">
        <v>524.1</v>
      </c>
      <c r="N313" s="137">
        <f t="shared" si="53"/>
        <v>3.3467432950191571</v>
      </c>
      <c r="O313" s="133">
        <f>+SUM('12:25'!O313)</f>
        <v>0</v>
      </c>
      <c r="P313" s="137">
        <f t="shared" si="50"/>
        <v>10.040229885057471</v>
      </c>
      <c r="Q313" s="133">
        <f>+SUM('12:25'!Q313)</f>
        <v>3.5</v>
      </c>
      <c r="R313" s="19">
        <f t="shared" si="51"/>
        <v>17.5</v>
      </c>
      <c r="S313" s="137">
        <f t="shared" si="52"/>
        <v>7.4597701149425291</v>
      </c>
      <c r="T313" s="20">
        <v>4</v>
      </c>
      <c r="U313" s="133">
        <f>+SUM('12:25'!U313)</f>
        <v>5</v>
      </c>
      <c r="V313" s="143"/>
      <c r="W313" s="133">
        <f>+SUM('12:25'!W313)</f>
        <v>0</v>
      </c>
      <c r="X313" s="133">
        <f>+SUM('12:25'!X313)</f>
        <v>0</v>
      </c>
      <c r="Y313" s="133">
        <f>+SUM('12:25'!Y313)</f>
        <v>0</v>
      </c>
      <c r="Z313" s="133">
        <f>+SUM('12:25'!Z313)</f>
        <v>0</v>
      </c>
      <c r="AA313" s="133">
        <f>+SUM('12:25'!AA313)</f>
        <v>2</v>
      </c>
      <c r="AB313" s="133">
        <f>+SUM('12:25'!AB313)</f>
        <v>0</v>
      </c>
      <c r="AC313" s="133">
        <f>+SUM('12:25'!AC313)</f>
        <v>0</v>
      </c>
      <c r="AD313" s="1">
        <f t="shared" si="46"/>
        <v>1.5723000000000003</v>
      </c>
      <c r="AE313" s="1">
        <v>186.75</v>
      </c>
      <c r="AF313" s="1">
        <f t="shared" si="47"/>
        <v>293.62702500000006</v>
      </c>
    </row>
    <row r="314" spans="1:32" ht="21.95" customHeight="1">
      <c r="A314" s="140">
        <v>300425</v>
      </c>
      <c r="B314" s="135" t="s">
        <v>300</v>
      </c>
      <c r="C314" s="237" t="s">
        <v>296</v>
      </c>
      <c r="D314" s="238"/>
      <c r="E314" s="139" t="s">
        <v>299</v>
      </c>
      <c r="F314" s="13"/>
      <c r="G314" s="133">
        <f>+SUM('12:25'!G314)</f>
        <v>5</v>
      </c>
      <c r="H314" s="133">
        <f>+SUM('12:25'!H314)</f>
        <v>0</v>
      </c>
      <c r="I314" s="133">
        <f>+SUM('12:25'!I314)</f>
        <v>5</v>
      </c>
      <c r="J314" s="133">
        <f>+SUM('12:25'!J314)</f>
        <v>0</v>
      </c>
      <c r="K314" s="137">
        <f t="shared" si="48"/>
        <v>2620.5</v>
      </c>
      <c r="L314" s="137">
        <f t="shared" si="49"/>
        <v>2620.5</v>
      </c>
      <c r="M314" s="137">
        <v>524.1</v>
      </c>
      <c r="N314" s="137">
        <f t="shared" si="53"/>
        <v>3.3467432950191571</v>
      </c>
      <c r="O314" s="133">
        <f>+SUM('12:25'!O314)</f>
        <v>0.5</v>
      </c>
      <c r="P314" s="137">
        <f t="shared" si="50"/>
        <v>19.233716475095786</v>
      </c>
      <c r="Q314" s="133">
        <f>+SUM('12:25'!Q314)</f>
        <v>4.5</v>
      </c>
      <c r="R314" s="19">
        <f t="shared" si="51"/>
        <v>22.5</v>
      </c>
      <c r="S314" s="137">
        <f t="shared" si="52"/>
        <v>3.2662835249042139</v>
      </c>
      <c r="T314" s="20">
        <v>4</v>
      </c>
      <c r="U314" s="133">
        <f>+SUM('12:25'!U314)</f>
        <v>5</v>
      </c>
      <c r="V314" s="143"/>
      <c r="W314" s="133">
        <f>+SUM('12:25'!W314)</f>
        <v>0</v>
      </c>
      <c r="X314" s="133">
        <f>+SUM('12:25'!X314)</f>
        <v>0</v>
      </c>
      <c r="Y314" s="133">
        <f>+SUM('12:25'!Y314)</f>
        <v>0</v>
      </c>
      <c r="Z314" s="133">
        <f>+SUM('12:25'!Z314)</f>
        <v>0</v>
      </c>
      <c r="AA314" s="133">
        <f>+SUM('12:25'!AA314)</f>
        <v>0</v>
      </c>
      <c r="AB314" s="133">
        <f>+SUM('12:25'!AB314)</f>
        <v>0</v>
      </c>
      <c r="AC314" s="133">
        <f>+SUM('12:25'!AC314)</f>
        <v>0</v>
      </c>
      <c r="AD314" s="1">
        <f t="shared" si="46"/>
        <v>2.6204999999999998</v>
      </c>
      <c r="AE314" s="1">
        <v>186.75</v>
      </c>
      <c r="AF314" s="1">
        <f t="shared" si="47"/>
        <v>489.37837499999995</v>
      </c>
    </row>
    <row r="315" spans="1:32" s="2" customFormat="1" ht="21.95" customHeight="1">
      <c r="A315" s="140">
        <v>300390</v>
      </c>
      <c r="B315" s="135" t="s">
        <v>295</v>
      </c>
      <c r="C315" s="237" t="s">
        <v>114</v>
      </c>
      <c r="D315" s="238"/>
      <c r="E315" s="139" t="s">
        <v>115</v>
      </c>
      <c r="F315" s="141"/>
      <c r="G315" s="133">
        <f>+SUM('12:25'!G315)</f>
        <v>0</v>
      </c>
      <c r="H315" s="133">
        <f>+SUM('12:25'!H315)</f>
        <v>0</v>
      </c>
      <c r="I315" s="133">
        <f>+SUM('12:25'!I315)</f>
        <v>0</v>
      </c>
      <c r="J315" s="133">
        <f>+SUM('12:25'!J315)</f>
        <v>0</v>
      </c>
      <c r="K315" s="137">
        <f t="shared" si="48"/>
        <v>0</v>
      </c>
      <c r="L315" s="137">
        <f t="shared" si="49"/>
        <v>0</v>
      </c>
      <c r="M315" s="137">
        <v>417.4</v>
      </c>
      <c r="N315" s="137">
        <f>+M315*1000/(87*1*80*60)*T315</f>
        <v>3.9980842911877397</v>
      </c>
      <c r="O315" s="133">
        <f>+SUM('12:25'!O315)</f>
        <v>0</v>
      </c>
      <c r="P315" s="137">
        <f t="shared" si="50"/>
        <v>0</v>
      </c>
      <c r="Q315" s="133">
        <f>+SUM('12:25'!Q315)</f>
        <v>0</v>
      </c>
      <c r="R315" s="19">
        <f t="shared" si="51"/>
        <v>0</v>
      </c>
      <c r="S315" s="137">
        <f t="shared" si="52"/>
        <v>0</v>
      </c>
      <c r="T315" s="20">
        <v>4</v>
      </c>
      <c r="U315" s="133">
        <f>+SUM('12:25'!U315)</f>
        <v>0</v>
      </c>
      <c r="V315" s="143" t="str">
        <f t="array" ref="V315">IF(ISERROR(L315/K315),"",L315/K315)</f>
        <v/>
      </c>
      <c r="W315" s="133">
        <f>+SUM('12:25'!W315)</f>
        <v>0</v>
      </c>
      <c r="X315" s="133">
        <f>+SUM('12:25'!X315)</f>
        <v>0</v>
      </c>
      <c r="Y315" s="133">
        <f>+SUM('12:25'!Y315)</f>
        <v>0</v>
      </c>
      <c r="Z315" s="133">
        <f>+SUM('12:25'!Z315)</f>
        <v>0</v>
      </c>
      <c r="AA315" s="133">
        <f>+SUM('12:25'!AA315)</f>
        <v>0</v>
      </c>
      <c r="AB315" s="133">
        <f>+SUM('12:25'!AB315)</f>
        <v>0</v>
      </c>
      <c r="AC315" s="133">
        <f>+SUM('12:25'!AC315)</f>
        <v>0</v>
      </c>
      <c r="AD315" s="1">
        <f t="shared" si="46"/>
        <v>0</v>
      </c>
      <c r="AE315" s="52">
        <v>297.58</v>
      </c>
      <c r="AF315" s="1">
        <f t="shared" si="47"/>
        <v>0</v>
      </c>
    </row>
    <row r="316" spans="1:32" s="2" customFormat="1" ht="21.95" customHeight="1">
      <c r="A316" s="140">
        <v>300391</v>
      </c>
      <c r="B316" s="135" t="s">
        <v>116</v>
      </c>
      <c r="C316" s="237" t="s">
        <v>114</v>
      </c>
      <c r="D316" s="238"/>
      <c r="E316" s="139" t="s">
        <v>117</v>
      </c>
      <c r="F316" s="141"/>
      <c r="G316" s="133">
        <f>+SUM('12:25'!G316)</f>
        <v>0</v>
      </c>
      <c r="H316" s="133">
        <f>+SUM('12:25'!H316)</f>
        <v>0</v>
      </c>
      <c r="I316" s="133">
        <f>+SUM('12:25'!I316)</f>
        <v>0</v>
      </c>
      <c r="J316" s="133">
        <f>+SUM('12:25'!J316)</f>
        <v>0</v>
      </c>
      <c r="K316" s="137">
        <f t="shared" si="48"/>
        <v>0</v>
      </c>
      <c r="L316" s="137">
        <f t="shared" si="49"/>
        <v>0</v>
      </c>
      <c r="M316" s="137">
        <v>417.4</v>
      </c>
      <c r="N316" s="137">
        <f>+M316*1000/(87*1*80*60)*T316</f>
        <v>3.9980842911877397</v>
      </c>
      <c r="O316" s="133">
        <f>+SUM('12:25'!O316)</f>
        <v>0</v>
      </c>
      <c r="P316" s="137">
        <f t="shared" si="50"/>
        <v>0</v>
      </c>
      <c r="Q316" s="133">
        <f>+SUM('12:25'!Q316)</f>
        <v>0</v>
      </c>
      <c r="R316" s="19">
        <f t="shared" si="51"/>
        <v>0</v>
      </c>
      <c r="S316" s="137">
        <f t="shared" si="52"/>
        <v>0</v>
      </c>
      <c r="T316" s="20">
        <v>4</v>
      </c>
      <c r="U316" s="133">
        <f>+SUM('12:25'!U316)</f>
        <v>0</v>
      </c>
      <c r="V316" s="143" t="str">
        <f t="array" ref="V316">IF(ISERROR(L316/K316),"",L316/K316)</f>
        <v/>
      </c>
      <c r="W316" s="133">
        <f>+SUM('12:25'!W316)</f>
        <v>0</v>
      </c>
      <c r="X316" s="133">
        <f>+SUM('12:25'!X316)</f>
        <v>0</v>
      </c>
      <c r="Y316" s="133">
        <f>+SUM('12:25'!Y316)</f>
        <v>0</v>
      </c>
      <c r="Z316" s="133">
        <f>+SUM('12:25'!Z316)</f>
        <v>0</v>
      </c>
      <c r="AA316" s="133">
        <f>+SUM('12:25'!AA316)</f>
        <v>0</v>
      </c>
      <c r="AB316" s="133">
        <f>+SUM('12:25'!AB316)</f>
        <v>0</v>
      </c>
      <c r="AC316" s="133">
        <f>+SUM('12:25'!AC316)</f>
        <v>0</v>
      </c>
      <c r="AD316" s="1">
        <f t="shared" si="46"/>
        <v>0</v>
      </c>
      <c r="AE316" s="52">
        <v>297.58</v>
      </c>
      <c r="AF316" s="1">
        <f t="shared" si="47"/>
        <v>0</v>
      </c>
    </row>
    <row r="317" spans="1:32" s="3" customFormat="1" ht="21.95" customHeight="1">
      <c r="A317" s="23">
        <v>300431</v>
      </c>
      <c r="B317" s="135" t="s">
        <v>300</v>
      </c>
      <c r="C317" s="240" t="s">
        <v>305</v>
      </c>
      <c r="D317" s="241"/>
      <c r="E317" s="24" t="s">
        <v>306</v>
      </c>
      <c r="F317" s="25"/>
      <c r="G317" s="133">
        <f>+SUM('12:25'!G317)</f>
        <v>0</v>
      </c>
      <c r="H317" s="133">
        <f>+SUM('12:25'!H317)</f>
        <v>0</v>
      </c>
      <c r="I317" s="133">
        <f>+SUM('12:25'!I317)</f>
        <v>0</v>
      </c>
      <c r="J317" s="133">
        <f>+SUM('12:25'!J317)</f>
        <v>0</v>
      </c>
      <c r="K317" s="28">
        <f t="shared" si="48"/>
        <v>0</v>
      </c>
      <c r="L317" s="28">
        <f t="shared" si="49"/>
        <v>0</v>
      </c>
      <c r="M317" s="28">
        <v>628.79999999999995</v>
      </c>
      <c r="N317" s="28">
        <f>+M317*1000/(87*1*80*60)*T317</f>
        <v>6.0229885057471266</v>
      </c>
      <c r="O317" s="133">
        <f>+SUM('12:25'!O317)</f>
        <v>0</v>
      </c>
      <c r="P317" s="28">
        <f t="shared" si="50"/>
        <v>0</v>
      </c>
      <c r="Q317" s="133">
        <f>+SUM('12:25'!Q317)</f>
        <v>0</v>
      </c>
      <c r="R317" s="29">
        <f t="shared" si="51"/>
        <v>0</v>
      </c>
      <c r="S317" s="28">
        <f t="shared" si="52"/>
        <v>0</v>
      </c>
      <c r="T317" s="30">
        <v>4</v>
      </c>
      <c r="U317" s="133">
        <f>+SUM('12:25'!U317)</f>
        <v>0</v>
      </c>
      <c r="V317" s="112"/>
      <c r="W317" s="133">
        <f>+SUM('12:25'!W317)</f>
        <v>0</v>
      </c>
      <c r="X317" s="133">
        <f>+SUM('12:25'!X317)</f>
        <v>0</v>
      </c>
      <c r="Y317" s="133">
        <f>+SUM('12:25'!Y317)</f>
        <v>0</v>
      </c>
      <c r="Z317" s="133">
        <f>+SUM('12:25'!Z317)</f>
        <v>0</v>
      </c>
      <c r="AA317" s="133">
        <f>+SUM('12:25'!AA317)</f>
        <v>0</v>
      </c>
      <c r="AB317" s="133">
        <f>+SUM('12:25'!AB317)</f>
        <v>0</v>
      </c>
      <c r="AC317" s="133">
        <f>+SUM('12:25'!AC317)</f>
        <v>0</v>
      </c>
      <c r="AD317" s="1">
        <f t="shared" si="46"/>
        <v>0</v>
      </c>
      <c r="AE317" s="186">
        <v>193.66</v>
      </c>
      <c r="AF317" s="1">
        <f t="shared" si="47"/>
        <v>0</v>
      </c>
    </row>
    <row r="318" spans="1:32" s="3" customFormat="1" ht="21.95" customHeight="1">
      <c r="A318" s="23">
        <v>300432</v>
      </c>
      <c r="B318" s="135" t="s">
        <v>300</v>
      </c>
      <c r="C318" s="240" t="s">
        <v>305</v>
      </c>
      <c r="D318" s="241"/>
      <c r="E318" s="24" t="s">
        <v>307</v>
      </c>
      <c r="F318" s="25"/>
      <c r="G318" s="133">
        <f>+SUM('12:25'!G318)</f>
        <v>0</v>
      </c>
      <c r="H318" s="133">
        <f>+SUM('12:25'!H318)</f>
        <v>0</v>
      </c>
      <c r="I318" s="133">
        <f>+SUM('12:25'!I318)</f>
        <v>0</v>
      </c>
      <c r="J318" s="133">
        <f>+SUM('12:25'!J318)</f>
        <v>0</v>
      </c>
      <c r="K318" s="28">
        <f t="shared" si="48"/>
        <v>0</v>
      </c>
      <c r="L318" s="28">
        <f t="shared" si="49"/>
        <v>0</v>
      </c>
      <c r="M318" s="28">
        <v>628.79999999999995</v>
      </c>
      <c r="N318" s="28">
        <f>+M318*1000/(87*1*80*60)*T318</f>
        <v>6.0229885057471266</v>
      </c>
      <c r="O318" s="133">
        <f>+SUM('12:25'!O318)</f>
        <v>0</v>
      </c>
      <c r="P318" s="28">
        <f t="shared" si="50"/>
        <v>0</v>
      </c>
      <c r="Q318" s="133">
        <f>+SUM('12:25'!Q318)</f>
        <v>0</v>
      </c>
      <c r="R318" s="29">
        <f t="shared" si="51"/>
        <v>0</v>
      </c>
      <c r="S318" s="28">
        <f t="shared" si="52"/>
        <v>0</v>
      </c>
      <c r="T318" s="30">
        <v>4</v>
      </c>
      <c r="U318" s="133">
        <f>+SUM('12:25'!U318)</f>
        <v>0</v>
      </c>
      <c r="V318" s="112"/>
      <c r="W318" s="133">
        <f>+SUM('12:25'!W318)</f>
        <v>0</v>
      </c>
      <c r="X318" s="133">
        <f>+SUM('12:25'!X318)</f>
        <v>0</v>
      </c>
      <c r="Y318" s="133">
        <f>+SUM('12:25'!Y318)</f>
        <v>0</v>
      </c>
      <c r="Z318" s="133">
        <f>+SUM('12:25'!Z318)</f>
        <v>0</v>
      </c>
      <c r="AA318" s="133">
        <f>+SUM('12:25'!AA318)</f>
        <v>0</v>
      </c>
      <c r="AB318" s="133">
        <f>+SUM('12:25'!AB318)</f>
        <v>0</v>
      </c>
      <c r="AC318" s="133">
        <f>+SUM('12:25'!AC318)</f>
        <v>0</v>
      </c>
      <c r="AD318" s="1">
        <f t="shared" si="46"/>
        <v>0</v>
      </c>
      <c r="AE318" s="186">
        <v>193.66</v>
      </c>
      <c r="AF318" s="1">
        <f t="shared" si="47"/>
        <v>0</v>
      </c>
    </row>
    <row r="319" spans="1:32" s="3" customFormat="1" ht="21.95" customHeight="1">
      <c r="A319" s="23">
        <v>300433</v>
      </c>
      <c r="B319" s="135" t="s">
        <v>300</v>
      </c>
      <c r="C319" s="240" t="s">
        <v>305</v>
      </c>
      <c r="D319" s="241"/>
      <c r="E319" s="125" t="s">
        <v>308</v>
      </c>
      <c r="F319" s="25"/>
      <c r="G319" s="133">
        <f>+SUM('12:25'!G319)</f>
        <v>1</v>
      </c>
      <c r="H319" s="133">
        <f>+SUM('12:25'!H319)</f>
        <v>0</v>
      </c>
      <c r="I319" s="133">
        <f>+SUM('12:25'!I319)</f>
        <v>0.75</v>
      </c>
      <c r="J319" s="133">
        <f>+SUM('12:25'!J319)</f>
        <v>150</v>
      </c>
      <c r="K319" s="28">
        <f t="shared" si="48"/>
        <v>628.79999999999995</v>
      </c>
      <c r="L319" s="28">
        <f t="shared" si="49"/>
        <v>471.59999999999997</v>
      </c>
      <c r="M319" s="28">
        <v>628.79999999999995</v>
      </c>
      <c r="N319" s="28">
        <f>+M319*1000/(87*1*80*60)*T319</f>
        <v>6.0229885057471266</v>
      </c>
      <c r="O319" s="133">
        <f>+SUM('12:25'!O319)</f>
        <v>0.5</v>
      </c>
      <c r="P319" s="28">
        <f t="shared" si="50"/>
        <v>7.0172413793103452</v>
      </c>
      <c r="Q319" s="133">
        <f>+SUM('12:25'!Q319)</f>
        <v>1.5</v>
      </c>
      <c r="R319" s="29">
        <f t="shared" si="51"/>
        <v>7.5</v>
      </c>
      <c r="S319" s="28">
        <f t="shared" si="52"/>
        <v>0.4827586206896548</v>
      </c>
      <c r="T319" s="30">
        <v>4</v>
      </c>
      <c r="U319" s="133">
        <f>+SUM('12:25'!U319)</f>
        <v>5</v>
      </c>
      <c r="V319" s="112"/>
      <c r="W319" s="133">
        <f>+SUM('12:25'!W319)</f>
        <v>0</v>
      </c>
      <c r="X319" s="133">
        <f>+SUM('12:25'!X319)</f>
        <v>0</v>
      </c>
      <c r="Y319" s="133">
        <f>+SUM('12:25'!Y319)</f>
        <v>0</v>
      </c>
      <c r="Z319" s="133">
        <f>+SUM('12:25'!Z319)</f>
        <v>0</v>
      </c>
      <c r="AA319" s="133">
        <f>+SUM('12:25'!AA319)</f>
        <v>0</v>
      </c>
      <c r="AB319" s="133">
        <f>+SUM('12:25'!AB319)</f>
        <v>0</v>
      </c>
      <c r="AC319" s="133">
        <f>+SUM('12:25'!AC319)</f>
        <v>0</v>
      </c>
      <c r="AD319" s="1">
        <f t="shared" si="46"/>
        <v>0.47159999999999996</v>
      </c>
      <c r="AE319" s="186">
        <v>193.66</v>
      </c>
      <c r="AF319" s="1">
        <f t="shared" si="47"/>
        <v>91.330055999999985</v>
      </c>
    </row>
    <row r="320" spans="1:32" s="2" customFormat="1" ht="21.95" customHeight="1">
      <c r="A320" s="140">
        <v>300074</v>
      </c>
      <c r="B320" s="135" t="s">
        <v>118</v>
      </c>
      <c r="C320" s="226" t="s">
        <v>119</v>
      </c>
      <c r="D320" s="226" t="s">
        <v>120</v>
      </c>
      <c r="E320" s="139" t="s">
        <v>54</v>
      </c>
      <c r="F320" s="141"/>
      <c r="G320" s="133">
        <f>+SUM('12:25'!G320)</f>
        <v>0</v>
      </c>
      <c r="H320" s="133">
        <f>+SUM('12:25'!H320)</f>
        <v>0</v>
      </c>
      <c r="I320" s="133">
        <f>+SUM('12:25'!I320)</f>
        <v>0</v>
      </c>
      <c r="J320" s="133">
        <f>+SUM('12:25'!J320)</f>
        <v>0</v>
      </c>
      <c r="K320" s="137">
        <f t="shared" si="48"/>
        <v>0</v>
      </c>
      <c r="L320" s="137">
        <f t="shared" si="49"/>
        <v>0</v>
      </c>
      <c r="M320" s="137">
        <v>290.8</v>
      </c>
      <c r="N320" s="137">
        <f>+M320*1000/(88*4*13*60)*T320</f>
        <v>3.1774475524475525</v>
      </c>
      <c r="O320" s="133">
        <f>+SUM('12:25'!O320)</f>
        <v>0</v>
      </c>
      <c r="P320" s="137">
        <f t="shared" si="50"/>
        <v>0</v>
      </c>
      <c r="Q320" s="133">
        <f>+SUM('12:25'!Q320)</f>
        <v>0</v>
      </c>
      <c r="R320" s="19">
        <f t="shared" si="51"/>
        <v>0</v>
      </c>
      <c r="S320" s="137">
        <f t="shared" si="52"/>
        <v>0</v>
      </c>
      <c r="T320" s="20">
        <v>3</v>
      </c>
      <c r="U320" s="133">
        <f>+SUM('12:25'!U320)</f>
        <v>0</v>
      </c>
      <c r="V320" s="143" t="str">
        <f t="array" ref="V320">IF(ISERROR(L320/K320),"",L320/K320)</f>
        <v/>
      </c>
      <c r="W320" s="133">
        <f>+SUM('12:25'!W320)</f>
        <v>0</v>
      </c>
      <c r="X320" s="133">
        <f>+SUM('12:25'!X320)</f>
        <v>0</v>
      </c>
      <c r="Y320" s="133">
        <f>+SUM('12:25'!Y320)</f>
        <v>0</v>
      </c>
      <c r="Z320" s="133">
        <f>+SUM('12:25'!Z320)</f>
        <v>0</v>
      </c>
      <c r="AA320" s="133">
        <f>+SUM('12:25'!AA320)</f>
        <v>0</v>
      </c>
      <c r="AB320" s="133">
        <f>+SUM('12:25'!AB320)</f>
        <v>0</v>
      </c>
      <c r="AC320" s="133">
        <f>+SUM('12:25'!AC320)</f>
        <v>0</v>
      </c>
      <c r="AD320" s="1">
        <f t="shared" si="46"/>
        <v>0</v>
      </c>
      <c r="AE320" s="52">
        <v>264.97000000000003</v>
      </c>
      <c r="AF320" s="1">
        <f t="shared" si="47"/>
        <v>0</v>
      </c>
    </row>
    <row r="321" spans="1:32" s="2" customFormat="1" ht="21.95" customHeight="1">
      <c r="A321" s="140">
        <v>300076</v>
      </c>
      <c r="B321" s="135" t="s">
        <v>118</v>
      </c>
      <c r="C321" s="226" t="s">
        <v>119</v>
      </c>
      <c r="D321" s="226" t="s">
        <v>120</v>
      </c>
      <c r="E321" s="139" t="s">
        <v>35</v>
      </c>
      <c r="F321" s="141"/>
      <c r="G321" s="133">
        <f>+SUM('12:25'!G321)</f>
        <v>0</v>
      </c>
      <c r="H321" s="133">
        <f>+SUM('12:25'!H321)</f>
        <v>0</v>
      </c>
      <c r="I321" s="133">
        <f>+SUM('12:25'!I321)</f>
        <v>0</v>
      </c>
      <c r="J321" s="133">
        <f>+SUM('12:25'!J321)</f>
        <v>0</v>
      </c>
      <c r="K321" s="137">
        <f t="shared" si="48"/>
        <v>0</v>
      </c>
      <c r="L321" s="137">
        <f t="shared" si="49"/>
        <v>0</v>
      </c>
      <c r="M321" s="137">
        <v>303.10000000000002</v>
      </c>
      <c r="N321" s="137">
        <f>+M321*1000/(88*4*12*60)*T321</f>
        <v>4.7837752525252526</v>
      </c>
      <c r="O321" s="133">
        <f>+SUM('12:25'!O321)</f>
        <v>0</v>
      </c>
      <c r="P321" s="137">
        <f t="shared" si="50"/>
        <v>0</v>
      </c>
      <c r="Q321" s="133">
        <f>+SUM('12:25'!Q321)</f>
        <v>0</v>
      </c>
      <c r="R321" s="19">
        <f t="shared" si="51"/>
        <v>0</v>
      </c>
      <c r="S321" s="137">
        <f t="shared" si="52"/>
        <v>0</v>
      </c>
      <c r="T321" s="20">
        <v>4</v>
      </c>
      <c r="U321" s="133">
        <f>+SUM('12:25'!U321)</f>
        <v>0</v>
      </c>
      <c r="V321" s="143" t="str">
        <f t="array" ref="V321">IF(ISERROR(L321/K321),"",L321/K321)</f>
        <v/>
      </c>
      <c r="W321" s="133">
        <f>+SUM('12:25'!W321)</f>
        <v>0</v>
      </c>
      <c r="X321" s="133">
        <f>+SUM('12:25'!X321)</f>
        <v>0</v>
      </c>
      <c r="Y321" s="133">
        <f>+SUM('12:25'!Y321)</f>
        <v>0</v>
      </c>
      <c r="Z321" s="133">
        <f>+SUM('12:25'!Z321)</f>
        <v>0</v>
      </c>
      <c r="AA321" s="133">
        <f>+SUM('12:25'!AA321)</f>
        <v>0</v>
      </c>
      <c r="AB321" s="133">
        <f>+SUM('12:25'!AB321)</f>
        <v>0</v>
      </c>
      <c r="AC321" s="133">
        <f>+SUM('12:25'!AC321)</f>
        <v>0</v>
      </c>
      <c r="AD321" s="1">
        <f t="shared" si="46"/>
        <v>0</v>
      </c>
      <c r="AE321" s="52">
        <v>415.94</v>
      </c>
      <c r="AF321" s="1">
        <f t="shared" si="47"/>
        <v>0</v>
      </c>
    </row>
    <row r="322" spans="1:32" s="2" customFormat="1" ht="21.95" customHeight="1">
      <c r="A322" s="140">
        <v>300096</v>
      </c>
      <c r="B322" s="147">
        <v>6502</v>
      </c>
      <c r="C322" s="239" t="s">
        <v>121</v>
      </c>
      <c r="D322" s="239" t="s">
        <v>122</v>
      </c>
      <c r="E322" s="42" t="s">
        <v>37</v>
      </c>
      <c r="F322" s="141"/>
      <c r="G322" s="133">
        <f>+SUM('12:25'!G322)</f>
        <v>0.2</v>
      </c>
      <c r="H322" s="133">
        <f>+SUM('12:25'!H322)</f>
        <v>0.2</v>
      </c>
      <c r="I322" s="133">
        <f>+SUM('12:25'!I322)</f>
        <v>0.2</v>
      </c>
      <c r="J322" s="133">
        <f>+SUM('12:25'!J322)</f>
        <v>0</v>
      </c>
      <c r="K322" s="137">
        <f t="shared" si="48"/>
        <v>96.02600000000001</v>
      </c>
      <c r="L322" s="137">
        <f t="shared" si="49"/>
        <v>96.02600000000001</v>
      </c>
      <c r="M322" s="137">
        <v>480.13</v>
      </c>
      <c r="N322" s="137">
        <f>+M322*1000/(126.5*4*12*60)*T322</f>
        <v>2.6357597716293371</v>
      </c>
      <c r="O322" s="133">
        <f>+SUM('12:25'!O322)</f>
        <v>0</v>
      </c>
      <c r="P322" s="137">
        <f t="shared" si="50"/>
        <v>0.52715195432586748</v>
      </c>
      <c r="Q322" s="133">
        <f>+SUM('12:25'!Q322)</f>
        <v>1</v>
      </c>
      <c r="R322" s="19">
        <f t="shared" si="51"/>
        <v>2</v>
      </c>
      <c r="S322" s="137">
        <f t="shared" si="52"/>
        <v>1.4728480456741324</v>
      </c>
      <c r="T322" s="20">
        <v>2</v>
      </c>
      <c r="U322" s="133">
        <f>+SUM('12:25'!U322)</f>
        <v>2</v>
      </c>
      <c r="V322" s="143">
        <f t="array" ref="V322">IF(ISERROR(L322/K322),"",L322/K322)</f>
        <v>1</v>
      </c>
      <c r="W322" s="133">
        <f>+SUM('12:25'!W322)</f>
        <v>0</v>
      </c>
      <c r="X322" s="133">
        <f>+SUM('12:25'!X322)</f>
        <v>0</v>
      </c>
      <c r="Y322" s="133">
        <f>+SUM('12:25'!Y322)</f>
        <v>0</v>
      </c>
      <c r="Z322" s="133">
        <f>+SUM('12:25'!Z322)</f>
        <v>0</v>
      </c>
      <c r="AA322" s="133">
        <f>+SUM('12:25'!AA322)</f>
        <v>0.5</v>
      </c>
      <c r="AB322" s="133">
        <f>+SUM('12:25'!AB322)</f>
        <v>0</v>
      </c>
      <c r="AC322" s="133">
        <f>+SUM('12:25'!AC322)</f>
        <v>0</v>
      </c>
      <c r="AD322" s="1">
        <f t="shared" si="46"/>
        <v>9.6026000000000014E-2</v>
      </c>
      <c r="AE322" s="52">
        <v>150.81</v>
      </c>
      <c r="AF322" s="1">
        <f t="shared" si="47"/>
        <v>14.481681060000003</v>
      </c>
    </row>
    <row r="323" spans="1:32" s="2" customFormat="1" ht="21.95" customHeight="1">
      <c r="A323" s="140"/>
      <c r="B323" s="147" t="s">
        <v>118</v>
      </c>
      <c r="C323" s="239" t="s">
        <v>121</v>
      </c>
      <c r="D323" s="239" t="s">
        <v>122</v>
      </c>
      <c r="E323" s="42" t="s">
        <v>35</v>
      </c>
      <c r="F323" s="141"/>
      <c r="G323" s="133">
        <f>+SUM('12:25'!G323)</f>
        <v>0</v>
      </c>
      <c r="H323" s="133">
        <f>+SUM('12:25'!H323)</f>
        <v>0</v>
      </c>
      <c r="I323" s="133">
        <f>+SUM('12:25'!I323)</f>
        <v>0</v>
      </c>
      <c r="J323" s="133">
        <f>+SUM('12:25'!J323)</f>
        <v>0</v>
      </c>
      <c r="K323" s="137">
        <f t="shared" si="48"/>
        <v>0</v>
      </c>
      <c r="L323" s="137">
        <f t="shared" si="49"/>
        <v>0</v>
      </c>
      <c r="M323" s="137">
        <v>480.13</v>
      </c>
      <c r="N323" s="137">
        <f>+M323*1000/(126.5*4*12*60)*T323</f>
        <v>2.6357597716293371</v>
      </c>
      <c r="O323" s="133">
        <f>+SUM('12:25'!O323)</f>
        <v>0</v>
      </c>
      <c r="P323" s="137">
        <f t="shared" si="50"/>
        <v>0</v>
      </c>
      <c r="Q323" s="133">
        <f>+SUM('12:25'!Q323)</f>
        <v>0</v>
      </c>
      <c r="R323" s="19">
        <f t="shared" si="51"/>
        <v>0</v>
      </c>
      <c r="S323" s="137">
        <f t="shared" si="52"/>
        <v>0</v>
      </c>
      <c r="T323" s="20">
        <v>2</v>
      </c>
      <c r="U323" s="133">
        <f>+SUM('12:25'!U323)</f>
        <v>0</v>
      </c>
      <c r="V323" s="143" t="str">
        <f t="array" ref="V323">IF(ISERROR(L323/K323),"",L323/K323)</f>
        <v/>
      </c>
      <c r="W323" s="133">
        <f>+SUM('12:25'!W323)</f>
        <v>0</v>
      </c>
      <c r="X323" s="133">
        <f>+SUM('12:25'!X323)</f>
        <v>0</v>
      </c>
      <c r="Y323" s="133">
        <f>+SUM('12:25'!Y323)</f>
        <v>0</v>
      </c>
      <c r="Z323" s="133">
        <f>+SUM('12:25'!Z323)</f>
        <v>0</v>
      </c>
      <c r="AA323" s="133">
        <f>+SUM('12:25'!AA323)</f>
        <v>0</v>
      </c>
      <c r="AB323" s="133">
        <f>+SUM('12:25'!AB323)</f>
        <v>0</v>
      </c>
      <c r="AC323" s="133">
        <f>+SUM('12:25'!AC323)</f>
        <v>0</v>
      </c>
      <c r="AD323" s="1">
        <f t="shared" si="46"/>
        <v>0</v>
      </c>
      <c r="AE323" s="52"/>
      <c r="AF323" s="1">
        <f t="shared" si="47"/>
        <v>0</v>
      </c>
    </row>
    <row r="324" spans="1:32" s="2" customFormat="1" ht="21.95" customHeight="1">
      <c r="A324" s="140">
        <v>300097</v>
      </c>
      <c r="B324" s="147">
        <v>6502</v>
      </c>
      <c r="C324" s="239" t="s">
        <v>121</v>
      </c>
      <c r="D324" s="239" t="s">
        <v>122</v>
      </c>
      <c r="E324" s="42" t="s">
        <v>63</v>
      </c>
      <c r="F324" s="141"/>
      <c r="G324" s="133">
        <f>+SUM('12:25'!G324)</f>
        <v>8</v>
      </c>
      <c r="H324" s="133">
        <f>+SUM('12:25'!H324)</f>
        <v>0</v>
      </c>
      <c r="I324" s="133">
        <f>+SUM('12:25'!I324)</f>
        <v>8</v>
      </c>
      <c r="J324" s="133">
        <f>+SUM('12:25'!J324)</f>
        <v>0</v>
      </c>
      <c r="K324" s="137">
        <f t="shared" si="48"/>
        <v>3841.04</v>
      </c>
      <c r="L324" s="137">
        <f t="shared" si="49"/>
        <v>3841.04</v>
      </c>
      <c r="M324" s="137">
        <v>480.13</v>
      </c>
      <c r="N324" s="137">
        <f>+M324*1000/(126.5*4*12*60)*T324</f>
        <v>2.6357597716293371</v>
      </c>
      <c r="O324" s="133">
        <f>+SUM('12:25'!O324)</f>
        <v>0.5</v>
      </c>
      <c r="P324" s="137">
        <f t="shared" si="50"/>
        <v>22.086078173034696</v>
      </c>
      <c r="Q324" s="133">
        <f>+SUM('12:25'!Q324)</f>
        <v>9.5</v>
      </c>
      <c r="R324" s="19">
        <f t="shared" si="51"/>
        <v>19</v>
      </c>
      <c r="S324" s="137">
        <f t="shared" si="52"/>
        <v>-3.0860781730346964</v>
      </c>
      <c r="T324" s="20">
        <v>2</v>
      </c>
      <c r="U324" s="133">
        <f>+SUM('12:25'!U324)</f>
        <v>2</v>
      </c>
      <c r="V324" s="143">
        <f t="array" ref="V324">IF(ISERROR(L324/K324),"",L324/K324)</f>
        <v>1</v>
      </c>
      <c r="W324" s="133">
        <f>+SUM('12:25'!W324)</f>
        <v>0</v>
      </c>
      <c r="X324" s="133">
        <f>+SUM('12:25'!X324)</f>
        <v>0</v>
      </c>
      <c r="Y324" s="133">
        <f>+SUM('12:25'!Y324)</f>
        <v>0</v>
      </c>
      <c r="Z324" s="133">
        <f>+SUM('12:25'!Z324)</f>
        <v>0</v>
      </c>
      <c r="AA324" s="133">
        <f>+SUM('12:25'!AA324)</f>
        <v>0</v>
      </c>
      <c r="AB324" s="133">
        <f>+SUM('12:25'!AB324)</f>
        <v>0</v>
      </c>
      <c r="AC324" s="133">
        <f>+SUM('12:25'!AC324)</f>
        <v>0</v>
      </c>
      <c r="AD324" s="1">
        <f t="shared" si="46"/>
        <v>3.84104</v>
      </c>
      <c r="AE324" s="52">
        <v>150.81</v>
      </c>
      <c r="AF324" s="1">
        <f t="shared" si="47"/>
        <v>579.26724239999999</v>
      </c>
    </row>
    <row r="325" spans="1:32" s="2" customFormat="1" ht="21.95" customHeight="1">
      <c r="A325" s="135">
        <v>300294</v>
      </c>
      <c r="B325" s="135" t="s">
        <v>118</v>
      </c>
      <c r="C325" s="226" t="s">
        <v>123</v>
      </c>
      <c r="D325" s="226"/>
      <c r="E325" s="139" t="s">
        <v>41</v>
      </c>
      <c r="F325" s="141"/>
      <c r="G325" s="133">
        <f>+SUM('12:25'!G325)</f>
        <v>0</v>
      </c>
      <c r="H325" s="133">
        <f>+SUM('12:25'!H325)</f>
        <v>0</v>
      </c>
      <c r="I325" s="133">
        <f>+SUM('12:25'!I325)</f>
        <v>0</v>
      </c>
      <c r="J325" s="133">
        <f>+SUM('12:25'!J325)</f>
        <v>0</v>
      </c>
      <c r="K325" s="137">
        <f t="shared" si="48"/>
        <v>0</v>
      </c>
      <c r="L325" s="137">
        <f t="shared" si="49"/>
        <v>0</v>
      </c>
      <c r="M325" s="137">
        <v>373.14</v>
      </c>
      <c r="N325" s="137">
        <f t="shared" ref="N325:N334" si="54">+M325*1000/(90*4*14*60)*T325</f>
        <v>3.7017857142857142</v>
      </c>
      <c r="O325" s="133">
        <f>+SUM('12:25'!O325)</f>
        <v>0</v>
      </c>
      <c r="P325" s="137">
        <f t="shared" si="50"/>
        <v>0</v>
      </c>
      <c r="Q325" s="133">
        <f>+SUM('12:25'!Q325)</f>
        <v>0</v>
      </c>
      <c r="R325" s="19">
        <f t="shared" si="51"/>
        <v>0</v>
      </c>
      <c r="S325" s="137">
        <f t="shared" si="52"/>
        <v>0</v>
      </c>
      <c r="T325" s="20">
        <v>3</v>
      </c>
      <c r="U325" s="133">
        <f>+SUM('12:25'!U325)</f>
        <v>0</v>
      </c>
      <c r="V325" s="143" t="str">
        <f t="array" ref="V325">IF(ISERROR(L325/K325),"",L325/K325)</f>
        <v/>
      </c>
      <c r="W325" s="133">
        <f>+SUM('12:25'!W325)</f>
        <v>0</v>
      </c>
      <c r="X325" s="133">
        <f>+SUM('12:25'!X325)</f>
        <v>0</v>
      </c>
      <c r="Y325" s="133">
        <f>+SUM('12:25'!Y325)</f>
        <v>0</v>
      </c>
      <c r="Z325" s="133">
        <f>+SUM('12:25'!Z325)</f>
        <v>0</v>
      </c>
      <c r="AA325" s="133">
        <f>+SUM('12:25'!AA325)</f>
        <v>0</v>
      </c>
      <c r="AB325" s="133">
        <f>+SUM('12:25'!AB325)</f>
        <v>0</v>
      </c>
      <c r="AC325" s="133">
        <f>+SUM('12:25'!AC325)</f>
        <v>0</v>
      </c>
      <c r="AD325" s="1">
        <f t="shared" si="46"/>
        <v>0</v>
      </c>
      <c r="AE325" s="52">
        <v>271.13</v>
      </c>
      <c r="AF325" s="1">
        <f t="shared" si="47"/>
        <v>0</v>
      </c>
    </row>
    <row r="326" spans="1:32" s="2" customFormat="1" ht="21.95" customHeight="1">
      <c r="A326" s="135">
        <v>300295</v>
      </c>
      <c r="B326" s="135" t="s">
        <v>124</v>
      </c>
      <c r="C326" s="226" t="s">
        <v>125</v>
      </c>
      <c r="D326" s="226"/>
      <c r="E326" s="139" t="s">
        <v>126</v>
      </c>
      <c r="F326" s="141"/>
      <c r="G326" s="133">
        <f>+SUM('12:25'!G326)</f>
        <v>0</v>
      </c>
      <c r="H326" s="133">
        <f>+SUM('12:25'!H326)</f>
        <v>0</v>
      </c>
      <c r="I326" s="133">
        <f>+SUM('12:25'!I326)</f>
        <v>0</v>
      </c>
      <c r="J326" s="133">
        <f>+SUM('12:25'!J326)</f>
        <v>0</v>
      </c>
      <c r="K326" s="137">
        <f t="shared" si="48"/>
        <v>0</v>
      </c>
      <c r="L326" s="137">
        <f t="shared" si="49"/>
        <v>0</v>
      </c>
      <c r="M326" s="137">
        <v>373.14</v>
      </c>
      <c r="N326" s="137">
        <f t="shared" si="54"/>
        <v>3.7017857142857142</v>
      </c>
      <c r="O326" s="133">
        <f>+SUM('12:25'!O326)</f>
        <v>0</v>
      </c>
      <c r="P326" s="137">
        <f t="shared" si="50"/>
        <v>0</v>
      </c>
      <c r="Q326" s="133">
        <f>+SUM('12:25'!Q326)</f>
        <v>0</v>
      </c>
      <c r="R326" s="19">
        <f t="shared" si="51"/>
        <v>0</v>
      </c>
      <c r="S326" s="137">
        <f t="shared" si="52"/>
        <v>0</v>
      </c>
      <c r="T326" s="20">
        <v>3</v>
      </c>
      <c r="U326" s="133">
        <f>+SUM('12:25'!U326)</f>
        <v>0</v>
      </c>
      <c r="V326" s="143" t="str">
        <f t="array" ref="V326">IF(ISERROR(L326/K326),"",L326/K326)</f>
        <v/>
      </c>
      <c r="W326" s="133">
        <f>+SUM('12:25'!W326)</f>
        <v>0</v>
      </c>
      <c r="X326" s="133">
        <f>+SUM('12:25'!X326)</f>
        <v>0</v>
      </c>
      <c r="Y326" s="133">
        <f>+SUM('12:25'!Y326)</f>
        <v>0</v>
      </c>
      <c r="Z326" s="133">
        <f>+SUM('12:25'!Z326)</f>
        <v>0</v>
      </c>
      <c r="AA326" s="133">
        <f>+SUM('12:25'!AA326)</f>
        <v>0</v>
      </c>
      <c r="AB326" s="133">
        <f>+SUM('12:25'!AB326)</f>
        <v>0</v>
      </c>
      <c r="AC326" s="133">
        <f>+SUM('12:25'!AC326)</f>
        <v>0</v>
      </c>
      <c r="AD326" s="1">
        <f t="shared" si="46"/>
        <v>0</v>
      </c>
      <c r="AE326" s="52">
        <v>271.13</v>
      </c>
      <c r="AF326" s="1">
        <f t="shared" si="47"/>
        <v>0</v>
      </c>
    </row>
    <row r="327" spans="1:32" s="2" customFormat="1" ht="21.95" customHeight="1">
      <c r="A327" s="135">
        <v>300258</v>
      </c>
      <c r="B327" s="135" t="s">
        <v>118</v>
      </c>
      <c r="C327" s="226" t="s">
        <v>123</v>
      </c>
      <c r="D327" s="226"/>
      <c r="E327" s="139" t="s">
        <v>42</v>
      </c>
      <c r="F327" s="141"/>
      <c r="G327" s="133">
        <f>+SUM('12:25'!G327)</f>
        <v>0</v>
      </c>
      <c r="H327" s="133">
        <f>+SUM('12:25'!H327)</f>
        <v>0</v>
      </c>
      <c r="I327" s="133">
        <f>+SUM('12:25'!I327)</f>
        <v>0</v>
      </c>
      <c r="J327" s="133">
        <f>+SUM('12:25'!J327)</f>
        <v>0</v>
      </c>
      <c r="K327" s="137">
        <f t="shared" si="48"/>
        <v>0</v>
      </c>
      <c r="L327" s="137">
        <f t="shared" si="49"/>
        <v>0</v>
      </c>
      <c r="M327" s="137">
        <v>373.14</v>
      </c>
      <c r="N327" s="137">
        <f t="shared" si="54"/>
        <v>3.7017857142857142</v>
      </c>
      <c r="O327" s="133">
        <f>+SUM('12:25'!O327)</f>
        <v>0</v>
      </c>
      <c r="P327" s="137">
        <f t="shared" si="50"/>
        <v>0</v>
      </c>
      <c r="Q327" s="133">
        <f>+SUM('12:25'!Q327)</f>
        <v>0</v>
      </c>
      <c r="R327" s="19">
        <f t="shared" si="51"/>
        <v>0</v>
      </c>
      <c r="S327" s="137">
        <f t="shared" si="52"/>
        <v>0</v>
      </c>
      <c r="T327" s="20">
        <v>3</v>
      </c>
      <c r="U327" s="133">
        <f>+SUM('12:25'!U327)</f>
        <v>0</v>
      </c>
      <c r="V327" s="143" t="str">
        <f t="array" ref="V327">IF(ISERROR(L327/K327),"",L327/K327)</f>
        <v/>
      </c>
      <c r="W327" s="133">
        <f>+SUM('12:25'!W327)</f>
        <v>0</v>
      </c>
      <c r="X327" s="133">
        <f>+SUM('12:25'!X327)</f>
        <v>0</v>
      </c>
      <c r="Y327" s="133">
        <f>+SUM('12:25'!Y327)</f>
        <v>0</v>
      </c>
      <c r="Z327" s="133">
        <f>+SUM('12:25'!Z327)</f>
        <v>0</v>
      </c>
      <c r="AA327" s="133">
        <f>+SUM('12:25'!AA327)</f>
        <v>0</v>
      </c>
      <c r="AB327" s="133">
        <f>+SUM('12:25'!AB327)</f>
        <v>0</v>
      </c>
      <c r="AC327" s="133">
        <f>+SUM('12:25'!AC327)</f>
        <v>0</v>
      </c>
      <c r="AD327" s="1">
        <f t="shared" si="46"/>
        <v>0</v>
      </c>
      <c r="AE327" s="52">
        <v>271.13</v>
      </c>
      <c r="AF327" s="1">
        <f t="shared" si="47"/>
        <v>0</v>
      </c>
    </row>
    <row r="328" spans="1:32" s="2" customFormat="1" ht="21.95" customHeight="1">
      <c r="A328" s="135">
        <v>300256</v>
      </c>
      <c r="B328" s="135" t="s">
        <v>118</v>
      </c>
      <c r="C328" s="226" t="s">
        <v>123</v>
      </c>
      <c r="D328" s="226"/>
      <c r="E328" s="139" t="s">
        <v>74</v>
      </c>
      <c r="F328" s="141"/>
      <c r="G328" s="133">
        <f>+SUM('12:25'!G328)</f>
        <v>0</v>
      </c>
      <c r="H328" s="133">
        <f>+SUM('12:25'!H328)</f>
        <v>0</v>
      </c>
      <c r="I328" s="133">
        <f>+SUM('12:25'!I328)</f>
        <v>0</v>
      </c>
      <c r="J328" s="133">
        <f>+SUM('12:25'!J328)</f>
        <v>0</v>
      </c>
      <c r="K328" s="137">
        <f t="shared" si="48"/>
        <v>0</v>
      </c>
      <c r="L328" s="137">
        <f t="shared" si="49"/>
        <v>0</v>
      </c>
      <c r="M328" s="137">
        <v>373.14</v>
      </c>
      <c r="N328" s="137">
        <f t="shared" si="54"/>
        <v>3.7017857142857142</v>
      </c>
      <c r="O328" s="133">
        <f>+SUM('12:25'!O328)</f>
        <v>0</v>
      </c>
      <c r="P328" s="137">
        <f t="shared" si="50"/>
        <v>0</v>
      </c>
      <c r="Q328" s="133">
        <f>+SUM('12:25'!Q328)</f>
        <v>0</v>
      </c>
      <c r="R328" s="19">
        <f t="shared" si="51"/>
        <v>0</v>
      </c>
      <c r="S328" s="137">
        <f t="shared" si="52"/>
        <v>0</v>
      </c>
      <c r="T328" s="20">
        <v>3</v>
      </c>
      <c r="U328" s="133">
        <f>+SUM('12:25'!U328)</f>
        <v>0</v>
      </c>
      <c r="V328" s="143" t="str">
        <f t="array" ref="V328">IF(ISERROR(L328/K328),"",L328/K328)</f>
        <v/>
      </c>
      <c r="W328" s="133">
        <f>+SUM('12:25'!W328)</f>
        <v>0</v>
      </c>
      <c r="X328" s="133">
        <f>+SUM('12:25'!X328)</f>
        <v>0</v>
      </c>
      <c r="Y328" s="133">
        <f>+SUM('12:25'!Y328)</f>
        <v>0</v>
      </c>
      <c r="Z328" s="133">
        <f>+SUM('12:25'!Z328)</f>
        <v>0</v>
      </c>
      <c r="AA328" s="133">
        <f>+SUM('12:25'!AA328)</f>
        <v>0</v>
      </c>
      <c r="AB328" s="133">
        <f>+SUM('12:25'!AB328)</f>
        <v>0</v>
      </c>
      <c r="AC328" s="133">
        <f>+SUM('12:25'!AC328)</f>
        <v>0</v>
      </c>
      <c r="AD328" s="1">
        <f t="shared" si="46"/>
        <v>0</v>
      </c>
      <c r="AE328" s="52">
        <v>271.13</v>
      </c>
      <c r="AF328" s="1">
        <f t="shared" si="47"/>
        <v>0</v>
      </c>
    </row>
    <row r="329" spans="1:32" s="2" customFormat="1" ht="21.95" customHeight="1">
      <c r="A329" s="135">
        <v>300259</v>
      </c>
      <c r="B329" s="135" t="s">
        <v>118</v>
      </c>
      <c r="C329" s="226" t="s">
        <v>123</v>
      </c>
      <c r="D329" s="226"/>
      <c r="E329" s="139" t="s">
        <v>40</v>
      </c>
      <c r="F329" s="141"/>
      <c r="G329" s="133">
        <f>+SUM('12:25'!G329)</f>
        <v>0</v>
      </c>
      <c r="H329" s="133">
        <f>+SUM('12:25'!H329)</f>
        <v>0</v>
      </c>
      <c r="I329" s="133">
        <f>+SUM('12:25'!I329)</f>
        <v>0</v>
      </c>
      <c r="J329" s="133">
        <f>+SUM('12:25'!J329)</f>
        <v>0</v>
      </c>
      <c r="K329" s="137">
        <f t="shared" si="48"/>
        <v>0</v>
      </c>
      <c r="L329" s="137">
        <f t="shared" si="49"/>
        <v>0</v>
      </c>
      <c r="M329" s="137">
        <v>373.14</v>
      </c>
      <c r="N329" s="137">
        <f t="shared" si="54"/>
        <v>3.7017857142857142</v>
      </c>
      <c r="O329" s="133">
        <f>+SUM('12:25'!O329)</f>
        <v>0</v>
      </c>
      <c r="P329" s="137">
        <f t="shared" si="50"/>
        <v>0</v>
      </c>
      <c r="Q329" s="133">
        <f>+SUM('12:25'!Q329)</f>
        <v>0</v>
      </c>
      <c r="R329" s="19">
        <f t="shared" si="51"/>
        <v>0</v>
      </c>
      <c r="S329" s="137">
        <f t="shared" si="52"/>
        <v>0</v>
      </c>
      <c r="T329" s="20">
        <v>3</v>
      </c>
      <c r="U329" s="133">
        <f>+SUM('12:25'!U329)</f>
        <v>0</v>
      </c>
      <c r="V329" s="143" t="str">
        <f t="array" ref="V329">IF(ISERROR(L329/K329),"",L329/K329)</f>
        <v/>
      </c>
      <c r="W329" s="133">
        <f>+SUM('12:25'!W329)</f>
        <v>0</v>
      </c>
      <c r="X329" s="133">
        <f>+SUM('12:25'!X329)</f>
        <v>0</v>
      </c>
      <c r="Y329" s="133">
        <f>+SUM('12:25'!Y329)</f>
        <v>0</v>
      </c>
      <c r="Z329" s="133">
        <f>+SUM('12:25'!Z329)</f>
        <v>0</v>
      </c>
      <c r="AA329" s="133">
        <f>+SUM('12:25'!AA329)</f>
        <v>0</v>
      </c>
      <c r="AB329" s="133">
        <f>+SUM('12:25'!AB329)</f>
        <v>0</v>
      </c>
      <c r="AC329" s="133">
        <f>+SUM('12:25'!AC329)</f>
        <v>0</v>
      </c>
      <c r="AD329" s="1">
        <f t="shared" si="46"/>
        <v>0</v>
      </c>
      <c r="AE329" s="52">
        <v>271.13</v>
      </c>
      <c r="AF329" s="1">
        <f t="shared" si="47"/>
        <v>0</v>
      </c>
    </row>
    <row r="330" spans="1:32" s="2" customFormat="1" ht="21.95" customHeight="1">
      <c r="A330" s="135">
        <v>300345</v>
      </c>
      <c r="B330" s="135" t="s">
        <v>118</v>
      </c>
      <c r="C330" s="226" t="s">
        <v>127</v>
      </c>
      <c r="D330" s="226"/>
      <c r="E330" s="139" t="s">
        <v>74</v>
      </c>
      <c r="F330" s="141"/>
      <c r="G330" s="133">
        <f>+SUM('12:25'!G330)</f>
        <v>0</v>
      </c>
      <c r="H330" s="133">
        <f>+SUM('12:25'!H330)</f>
        <v>0</v>
      </c>
      <c r="I330" s="133">
        <f>+SUM('12:25'!I330)</f>
        <v>0</v>
      </c>
      <c r="J330" s="133">
        <f>+SUM('12:25'!J330)</f>
        <v>0</v>
      </c>
      <c r="K330" s="137">
        <f t="shared" si="48"/>
        <v>0</v>
      </c>
      <c r="L330" s="137">
        <f t="shared" si="49"/>
        <v>0</v>
      </c>
      <c r="M330" s="137">
        <v>373.14</v>
      </c>
      <c r="N330" s="137">
        <f t="shared" si="54"/>
        <v>3.7017857142857142</v>
      </c>
      <c r="O330" s="133">
        <f>+SUM('12:25'!O330)</f>
        <v>0</v>
      </c>
      <c r="P330" s="137">
        <f t="shared" si="50"/>
        <v>0</v>
      </c>
      <c r="Q330" s="133">
        <f>+SUM('12:25'!Q330)</f>
        <v>0</v>
      </c>
      <c r="R330" s="19">
        <f t="shared" si="51"/>
        <v>0</v>
      </c>
      <c r="S330" s="137">
        <f t="shared" si="52"/>
        <v>0</v>
      </c>
      <c r="T330" s="20">
        <v>3</v>
      </c>
      <c r="U330" s="133">
        <f>+SUM('12:25'!U330)</f>
        <v>0</v>
      </c>
      <c r="V330" s="143"/>
      <c r="W330" s="133">
        <f>+SUM('12:25'!W330)</f>
        <v>0</v>
      </c>
      <c r="X330" s="133">
        <f>+SUM('12:25'!X330)</f>
        <v>0</v>
      </c>
      <c r="Y330" s="133">
        <f>+SUM('12:25'!Y330)</f>
        <v>0</v>
      </c>
      <c r="Z330" s="133">
        <f>+SUM('12:25'!Z330)</f>
        <v>0</v>
      </c>
      <c r="AA330" s="133">
        <f>+SUM('12:25'!AA330)</f>
        <v>0</v>
      </c>
      <c r="AB330" s="133">
        <f>+SUM('12:25'!AB330)</f>
        <v>0</v>
      </c>
      <c r="AC330" s="133">
        <f>+SUM('12:25'!AC330)</f>
        <v>0</v>
      </c>
      <c r="AD330" s="1">
        <f t="shared" si="46"/>
        <v>0</v>
      </c>
      <c r="AE330" s="52">
        <v>271.13</v>
      </c>
      <c r="AF330" s="1">
        <f t="shared" si="47"/>
        <v>0</v>
      </c>
    </row>
    <row r="331" spans="1:32" s="2" customFormat="1" ht="21.95" customHeight="1">
      <c r="A331" s="135">
        <v>300346</v>
      </c>
      <c r="B331" s="135" t="s">
        <v>118</v>
      </c>
      <c r="C331" s="226" t="s">
        <v>127</v>
      </c>
      <c r="D331" s="226"/>
      <c r="E331" s="139" t="s">
        <v>42</v>
      </c>
      <c r="F331" s="141"/>
      <c r="G331" s="133">
        <f>+SUM('12:25'!G331)</f>
        <v>0</v>
      </c>
      <c r="H331" s="133">
        <f>+SUM('12:25'!H331)</f>
        <v>0</v>
      </c>
      <c r="I331" s="133">
        <f>+SUM('12:25'!I331)</f>
        <v>0</v>
      </c>
      <c r="J331" s="133">
        <f>+SUM('12:25'!J331)</f>
        <v>0</v>
      </c>
      <c r="K331" s="137">
        <f t="shared" si="48"/>
        <v>0</v>
      </c>
      <c r="L331" s="137">
        <f t="shared" si="49"/>
        <v>0</v>
      </c>
      <c r="M331" s="137">
        <v>373.14</v>
      </c>
      <c r="N331" s="137">
        <f t="shared" si="54"/>
        <v>3.7017857142857142</v>
      </c>
      <c r="O331" s="133">
        <f>+SUM('12:25'!O331)</f>
        <v>0</v>
      </c>
      <c r="P331" s="137">
        <f t="shared" si="50"/>
        <v>0</v>
      </c>
      <c r="Q331" s="133">
        <f>+SUM('12:25'!Q331)</f>
        <v>0</v>
      </c>
      <c r="R331" s="19">
        <f t="shared" si="51"/>
        <v>0</v>
      </c>
      <c r="S331" s="137">
        <f t="shared" si="52"/>
        <v>0</v>
      </c>
      <c r="T331" s="20">
        <v>3</v>
      </c>
      <c r="U331" s="133">
        <f>+SUM('12:25'!U331)</f>
        <v>0</v>
      </c>
      <c r="V331" s="143"/>
      <c r="W331" s="133">
        <f>+SUM('12:25'!W331)</f>
        <v>0</v>
      </c>
      <c r="X331" s="133">
        <f>+SUM('12:25'!X331)</f>
        <v>0</v>
      </c>
      <c r="Y331" s="133">
        <f>+SUM('12:25'!Y331)</f>
        <v>0</v>
      </c>
      <c r="Z331" s="133">
        <f>+SUM('12:25'!Z331)</f>
        <v>0</v>
      </c>
      <c r="AA331" s="133">
        <f>+SUM('12:25'!AA331)</f>
        <v>0</v>
      </c>
      <c r="AB331" s="133">
        <f>+SUM('12:25'!AB331)</f>
        <v>0</v>
      </c>
      <c r="AC331" s="133">
        <f>+SUM('12:25'!AC331)</f>
        <v>0</v>
      </c>
      <c r="AD331" s="1">
        <f t="shared" si="46"/>
        <v>0</v>
      </c>
      <c r="AE331" s="52">
        <v>271.13</v>
      </c>
      <c r="AF331" s="1">
        <f t="shared" si="47"/>
        <v>0</v>
      </c>
    </row>
    <row r="332" spans="1:32" s="2" customFormat="1" ht="21.95" customHeight="1">
      <c r="A332" s="135">
        <v>300347</v>
      </c>
      <c r="B332" s="135" t="s">
        <v>118</v>
      </c>
      <c r="C332" s="226" t="s">
        <v>127</v>
      </c>
      <c r="D332" s="226"/>
      <c r="E332" s="139" t="s">
        <v>41</v>
      </c>
      <c r="F332" s="141"/>
      <c r="G332" s="133">
        <f>+SUM('12:25'!G332)</f>
        <v>0</v>
      </c>
      <c r="H332" s="133">
        <f>+SUM('12:25'!H332)</f>
        <v>0</v>
      </c>
      <c r="I332" s="133">
        <f>+SUM('12:25'!I332)</f>
        <v>0</v>
      </c>
      <c r="J332" s="133">
        <f>+SUM('12:25'!J332)</f>
        <v>0</v>
      </c>
      <c r="K332" s="137">
        <f t="shared" si="48"/>
        <v>0</v>
      </c>
      <c r="L332" s="137">
        <f t="shared" si="49"/>
        <v>0</v>
      </c>
      <c r="M332" s="137">
        <v>373.14</v>
      </c>
      <c r="N332" s="137">
        <f t="shared" si="54"/>
        <v>3.7017857142857142</v>
      </c>
      <c r="O332" s="133">
        <f>+SUM('12:25'!O332)</f>
        <v>0</v>
      </c>
      <c r="P332" s="137">
        <f t="shared" si="50"/>
        <v>0</v>
      </c>
      <c r="Q332" s="133">
        <f>+SUM('12:25'!Q332)</f>
        <v>0</v>
      </c>
      <c r="R332" s="19">
        <f t="shared" si="51"/>
        <v>0</v>
      </c>
      <c r="S332" s="137">
        <f t="shared" si="52"/>
        <v>0</v>
      </c>
      <c r="T332" s="20">
        <v>3</v>
      </c>
      <c r="U332" s="133">
        <f>+SUM('12:25'!U332)</f>
        <v>0</v>
      </c>
      <c r="V332" s="143"/>
      <c r="W332" s="133">
        <f>+SUM('12:25'!W332)</f>
        <v>0</v>
      </c>
      <c r="X332" s="133">
        <f>+SUM('12:25'!X332)</f>
        <v>0</v>
      </c>
      <c r="Y332" s="133">
        <f>+SUM('12:25'!Y332)</f>
        <v>0</v>
      </c>
      <c r="Z332" s="133">
        <f>+SUM('12:25'!Z332)</f>
        <v>0</v>
      </c>
      <c r="AA332" s="133">
        <f>+SUM('12:25'!AA332)</f>
        <v>0</v>
      </c>
      <c r="AB332" s="133">
        <f>+SUM('12:25'!AB332)</f>
        <v>0</v>
      </c>
      <c r="AC332" s="133">
        <f>+SUM('12:25'!AC332)</f>
        <v>0</v>
      </c>
      <c r="AD332" s="1">
        <f t="shared" si="46"/>
        <v>0</v>
      </c>
      <c r="AE332" s="52">
        <v>271.13</v>
      </c>
      <c r="AF332" s="1">
        <f t="shared" si="47"/>
        <v>0</v>
      </c>
    </row>
    <row r="333" spans="1:32" s="2" customFormat="1" ht="21.95" customHeight="1">
      <c r="A333" s="135">
        <v>300348</v>
      </c>
      <c r="B333" s="135" t="s">
        <v>118</v>
      </c>
      <c r="C333" s="226" t="s">
        <v>127</v>
      </c>
      <c r="D333" s="226"/>
      <c r="E333" s="139" t="s">
        <v>126</v>
      </c>
      <c r="F333" s="141"/>
      <c r="G333" s="133">
        <f>+SUM('12:25'!G333)</f>
        <v>0</v>
      </c>
      <c r="H333" s="133">
        <f>+SUM('12:25'!H333)</f>
        <v>0</v>
      </c>
      <c r="I333" s="133">
        <f>+SUM('12:25'!I333)</f>
        <v>0</v>
      </c>
      <c r="J333" s="133">
        <f>+SUM('12:25'!J333)</f>
        <v>0</v>
      </c>
      <c r="K333" s="137">
        <f t="shared" si="48"/>
        <v>0</v>
      </c>
      <c r="L333" s="137">
        <f t="shared" si="49"/>
        <v>0</v>
      </c>
      <c r="M333" s="137">
        <v>373.14</v>
      </c>
      <c r="N333" s="137">
        <f t="shared" si="54"/>
        <v>3.7017857142857142</v>
      </c>
      <c r="O333" s="133">
        <f>+SUM('12:25'!O333)</f>
        <v>0</v>
      </c>
      <c r="P333" s="137">
        <f t="shared" si="50"/>
        <v>0</v>
      </c>
      <c r="Q333" s="133">
        <f>+SUM('12:25'!Q333)</f>
        <v>0</v>
      </c>
      <c r="R333" s="19">
        <f t="shared" si="51"/>
        <v>0</v>
      </c>
      <c r="S333" s="137">
        <f t="shared" si="52"/>
        <v>0</v>
      </c>
      <c r="T333" s="20">
        <v>3</v>
      </c>
      <c r="U333" s="133">
        <f>+SUM('12:25'!U333)</f>
        <v>0</v>
      </c>
      <c r="V333" s="143"/>
      <c r="W333" s="133">
        <f>+SUM('12:25'!W333)</f>
        <v>0</v>
      </c>
      <c r="X333" s="133">
        <f>+SUM('12:25'!X333)</f>
        <v>0</v>
      </c>
      <c r="Y333" s="133">
        <f>+SUM('12:25'!Y333)</f>
        <v>0</v>
      </c>
      <c r="Z333" s="133">
        <f>+SUM('12:25'!Z333)</f>
        <v>0</v>
      </c>
      <c r="AA333" s="133">
        <f>+SUM('12:25'!AA333)</f>
        <v>0</v>
      </c>
      <c r="AB333" s="133">
        <f>+SUM('12:25'!AB333)</f>
        <v>0</v>
      </c>
      <c r="AC333" s="133">
        <f>+SUM('12:25'!AC333)</f>
        <v>0</v>
      </c>
      <c r="AD333" s="1">
        <f t="shared" si="46"/>
        <v>0</v>
      </c>
      <c r="AE333" s="52">
        <v>271.13</v>
      </c>
      <c r="AF333" s="1">
        <f t="shared" si="47"/>
        <v>0</v>
      </c>
    </row>
    <row r="334" spans="1:32" s="2" customFormat="1" ht="21.95" customHeight="1">
      <c r="A334" s="135">
        <v>300349</v>
      </c>
      <c r="B334" s="135" t="s">
        <v>118</v>
      </c>
      <c r="C334" s="226" t="s">
        <v>127</v>
      </c>
      <c r="D334" s="226"/>
      <c r="E334" s="139" t="s">
        <v>40</v>
      </c>
      <c r="F334" s="141"/>
      <c r="G334" s="133">
        <f>+SUM('12:25'!G334)</f>
        <v>0</v>
      </c>
      <c r="H334" s="133">
        <f>+SUM('12:25'!H334)</f>
        <v>0</v>
      </c>
      <c r="I334" s="133">
        <f>+SUM('12:25'!I334)</f>
        <v>0</v>
      </c>
      <c r="J334" s="133">
        <f>+SUM('12:25'!J334)</f>
        <v>0</v>
      </c>
      <c r="K334" s="137">
        <f t="shared" si="48"/>
        <v>0</v>
      </c>
      <c r="L334" s="137">
        <f t="shared" si="49"/>
        <v>0</v>
      </c>
      <c r="M334" s="137">
        <v>373.14</v>
      </c>
      <c r="N334" s="137">
        <f t="shared" si="54"/>
        <v>3.7017857142857142</v>
      </c>
      <c r="O334" s="133">
        <f>+SUM('12:25'!O334)</f>
        <v>0</v>
      </c>
      <c r="P334" s="137">
        <f t="shared" si="50"/>
        <v>0</v>
      </c>
      <c r="Q334" s="133">
        <f>+SUM('12:25'!Q334)</f>
        <v>0</v>
      </c>
      <c r="R334" s="19">
        <f t="shared" si="51"/>
        <v>0</v>
      </c>
      <c r="S334" s="137">
        <f t="shared" si="52"/>
        <v>0</v>
      </c>
      <c r="T334" s="20">
        <v>3</v>
      </c>
      <c r="U334" s="133">
        <f>+SUM('12:25'!U334)</f>
        <v>0</v>
      </c>
      <c r="V334" s="143"/>
      <c r="W334" s="133">
        <f>+SUM('12:25'!W334)</f>
        <v>0</v>
      </c>
      <c r="X334" s="133">
        <f>+SUM('12:25'!X334)</f>
        <v>0</v>
      </c>
      <c r="Y334" s="133">
        <f>+SUM('12:25'!Y334)</f>
        <v>0</v>
      </c>
      <c r="Z334" s="133">
        <f>+SUM('12:25'!Z334)</f>
        <v>0</v>
      </c>
      <c r="AA334" s="133">
        <f>+SUM('12:25'!AA334)</f>
        <v>0</v>
      </c>
      <c r="AB334" s="133">
        <f>+SUM('12:25'!AB334)</f>
        <v>0</v>
      </c>
      <c r="AC334" s="133">
        <f>+SUM('12:25'!AC334)</f>
        <v>0</v>
      </c>
      <c r="AD334" s="1">
        <f t="shared" si="46"/>
        <v>0</v>
      </c>
      <c r="AE334" s="52">
        <v>271.13</v>
      </c>
      <c r="AF334" s="1">
        <f t="shared" si="47"/>
        <v>0</v>
      </c>
    </row>
    <row r="335" spans="1:32" s="2" customFormat="1" ht="21.95" customHeight="1">
      <c r="A335" s="135">
        <v>300298</v>
      </c>
      <c r="B335" s="135" t="s">
        <v>118</v>
      </c>
      <c r="C335" s="226" t="s">
        <v>128</v>
      </c>
      <c r="D335" s="226"/>
      <c r="E335" s="139" t="s">
        <v>54</v>
      </c>
      <c r="F335" s="141"/>
      <c r="G335" s="133">
        <f>+SUM('12:25'!G335)</f>
        <v>0</v>
      </c>
      <c r="H335" s="133">
        <f>+SUM('12:25'!H335)</f>
        <v>0</v>
      </c>
      <c r="I335" s="133">
        <f>+SUM('12:25'!I335)</f>
        <v>0</v>
      </c>
      <c r="J335" s="133">
        <f>+SUM('12:25'!J335)</f>
        <v>0</v>
      </c>
      <c r="K335" s="137">
        <f t="shared" si="48"/>
        <v>0</v>
      </c>
      <c r="L335" s="137">
        <f t="shared" si="49"/>
        <v>0</v>
      </c>
      <c r="M335" s="137">
        <v>380.63</v>
      </c>
      <c r="N335" s="137">
        <f t="shared" ref="N335:N340" si="55">+M335*1000/(94.7*4*15*60)*T335</f>
        <v>4.4659157573624313</v>
      </c>
      <c r="O335" s="133">
        <f>+SUM('12:25'!O335)</f>
        <v>0</v>
      </c>
      <c r="P335" s="137">
        <f t="shared" si="50"/>
        <v>0</v>
      </c>
      <c r="Q335" s="133">
        <f>+SUM('12:25'!Q335)</f>
        <v>0</v>
      </c>
      <c r="R335" s="19">
        <f t="shared" si="51"/>
        <v>0</v>
      </c>
      <c r="S335" s="137">
        <f t="shared" si="52"/>
        <v>0</v>
      </c>
      <c r="T335" s="20">
        <v>4</v>
      </c>
      <c r="U335" s="133">
        <f>+SUM('12:25'!U335)</f>
        <v>0</v>
      </c>
      <c r="V335" s="143" t="str">
        <f t="array" ref="V335">IF(ISERROR(L335/K335),"",L335/K335)</f>
        <v/>
      </c>
      <c r="W335" s="133">
        <f>+SUM('12:25'!W335)</f>
        <v>0</v>
      </c>
      <c r="X335" s="133">
        <f>+SUM('12:25'!X335)</f>
        <v>0</v>
      </c>
      <c r="Y335" s="133">
        <f>+SUM('12:25'!Y335)</f>
        <v>0</v>
      </c>
      <c r="Z335" s="133">
        <f>+SUM('12:25'!Z335)</f>
        <v>0</v>
      </c>
      <c r="AA335" s="133">
        <f>+SUM('12:25'!AA335)</f>
        <v>0</v>
      </c>
      <c r="AB335" s="133">
        <f>+SUM('12:25'!AB335)</f>
        <v>0</v>
      </c>
      <c r="AC335" s="133">
        <f>+SUM('12:25'!AC335)</f>
        <v>0</v>
      </c>
      <c r="AD335" s="1">
        <f t="shared" si="46"/>
        <v>0</v>
      </c>
      <c r="AE335" s="52">
        <v>295.45999999999998</v>
      </c>
      <c r="AF335" s="1">
        <f t="shared" si="47"/>
        <v>0</v>
      </c>
    </row>
    <row r="336" spans="1:32" s="2" customFormat="1" ht="21.95" customHeight="1">
      <c r="A336" s="135">
        <v>300299</v>
      </c>
      <c r="B336" s="135" t="s">
        <v>118</v>
      </c>
      <c r="C336" s="226" t="s">
        <v>128</v>
      </c>
      <c r="D336" s="226"/>
      <c r="E336" s="139" t="s">
        <v>39</v>
      </c>
      <c r="F336" s="141"/>
      <c r="G336" s="133">
        <f>+SUM('12:25'!G336)</f>
        <v>0</v>
      </c>
      <c r="H336" s="133">
        <f>+SUM('12:25'!H336)</f>
        <v>0</v>
      </c>
      <c r="I336" s="133">
        <f>+SUM('12:25'!I336)</f>
        <v>0</v>
      </c>
      <c r="J336" s="133">
        <f>+SUM('12:25'!J336)</f>
        <v>0</v>
      </c>
      <c r="K336" s="137">
        <f t="shared" si="48"/>
        <v>0</v>
      </c>
      <c r="L336" s="137">
        <f t="shared" si="49"/>
        <v>0</v>
      </c>
      <c r="M336" s="137">
        <v>380.63</v>
      </c>
      <c r="N336" s="137">
        <f t="shared" si="55"/>
        <v>4.4659157573624313</v>
      </c>
      <c r="O336" s="133">
        <f>+SUM('12:25'!O336)</f>
        <v>0</v>
      </c>
      <c r="P336" s="137">
        <f t="shared" si="50"/>
        <v>0</v>
      </c>
      <c r="Q336" s="133">
        <f>+SUM('12:25'!Q336)</f>
        <v>0</v>
      </c>
      <c r="R336" s="19">
        <f t="shared" si="51"/>
        <v>0</v>
      </c>
      <c r="S336" s="137">
        <f t="shared" si="52"/>
        <v>0</v>
      </c>
      <c r="T336" s="20">
        <v>4</v>
      </c>
      <c r="U336" s="133">
        <f>+SUM('12:25'!U336)</f>
        <v>0</v>
      </c>
      <c r="V336" s="143" t="str">
        <f t="array" ref="V336">IF(ISERROR(L336/K336),"",L336/K336)</f>
        <v/>
      </c>
      <c r="W336" s="133">
        <f>+SUM('12:25'!W336)</f>
        <v>0</v>
      </c>
      <c r="X336" s="133">
        <f>+SUM('12:25'!X336)</f>
        <v>0</v>
      </c>
      <c r="Y336" s="133">
        <f>+SUM('12:25'!Y336)</f>
        <v>0</v>
      </c>
      <c r="Z336" s="133">
        <f>+SUM('12:25'!Z336)</f>
        <v>0</v>
      </c>
      <c r="AA336" s="133">
        <f>+SUM('12:25'!AA336)</f>
        <v>0</v>
      </c>
      <c r="AB336" s="133">
        <f>+SUM('12:25'!AB336)</f>
        <v>0</v>
      </c>
      <c r="AC336" s="133">
        <f>+SUM('12:25'!AC336)</f>
        <v>0</v>
      </c>
      <c r="AD336" s="1">
        <f t="shared" si="46"/>
        <v>0</v>
      </c>
      <c r="AE336" s="52">
        <v>295.45999999999998</v>
      </c>
      <c r="AF336" s="1">
        <f t="shared" si="47"/>
        <v>0</v>
      </c>
    </row>
    <row r="337" spans="1:32" s="2" customFormat="1" ht="21.95" customHeight="1">
      <c r="A337" s="135">
        <v>300296</v>
      </c>
      <c r="B337" s="135" t="s">
        <v>118</v>
      </c>
      <c r="C337" s="226" t="s">
        <v>128</v>
      </c>
      <c r="D337" s="226"/>
      <c r="E337" s="139" t="s">
        <v>41</v>
      </c>
      <c r="F337" s="141"/>
      <c r="G337" s="133">
        <f>+SUM('12:25'!G337)</f>
        <v>0</v>
      </c>
      <c r="H337" s="133">
        <f>+SUM('12:25'!H337)</f>
        <v>0</v>
      </c>
      <c r="I337" s="133">
        <f>+SUM('12:25'!I337)</f>
        <v>0</v>
      </c>
      <c r="J337" s="133">
        <f>+SUM('12:25'!J337)</f>
        <v>0</v>
      </c>
      <c r="K337" s="137">
        <f t="shared" si="48"/>
        <v>0</v>
      </c>
      <c r="L337" s="137">
        <f t="shared" si="49"/>
        <v>0</v>
      </c>
      <c r="M337" s="137">
        <v>380.63</v>
      </c>
      <c r="N337" s="137">
        <f t="shared" si="55"/>
        <v>4.4659157573624313</v>
      </c>
      <c r="O337" s="133">
        <f>+SUM('12:25'!O337)</f>
        <v>0</v>
      </c>
      <c r="P337" s="137">
        <f t="shared" si="50"/>
        <v>0</v>
      </c>
      <c r="Q337" s="133">
        <f>+SUM('12:25'!Q337)</f>
        <v>0</v>
      </c>
      <c r="R337" s="19">
        <f t="shared" si="51"/>
        <v>0</v>
      </c>
      <c r="S337" s="137">
        <f t="shared" si="52"/>
        <v>0</v>
      </c>
      <c r="T337" s="20">
        <v>4</v>
      </c>
      <c r="U337" s="133">
        <f>+SUM('12:25'!U337)</f>
        <v>0</v>
      </c>
      <c r="V337" s="143" t="str">
        <f t="array" ref="V337">IF(ISERROR(L337/K337),"",L337/K337)</f>
        <v/>
      </c>
      <c r="W337" s="133">
        <f>+SUM('12:25'!W337)</f>
        <v>0</v>
      </c>
      <c r="X337" s="133">
        <f>+SUM('12:25'!X337)</f>
        <v>0</v>
      </c>
      <c r="Y337" s="133">
        <f>+SUM('12:25'!Y337)</f>
        <v>0</v>
      </c>
      <c r="Z337" s="133">
        <f>+SUM('12:25'!Z337)</f>
        <v>0</v>
      </c>
      <c r="AA337" s="133">
        <f>+SUM('12:25'!AA337)</f>
        <v>0</v>
      </c>
      <c r="AB337" s="133">
        <f>+SUM('12:25'!AB337)</f>
        <v>0</v>
      </c>
      <c r="AC337" s="133">
        <f>+SUM('12:25'!AC337)</f>
        <v>0</v>
      </c>
      <c r="AD337" s="1">
        <f t="shared" si="46"/>
        <v>0</v>
      </c>
      <c r="AE337" s="52">
        <v>295.45999999999998</v>
      </c>
      <c r="AF337" s="1">
        <f t="shared" si="47"/>
        <v>0</v>
      </c>
    </row>
    <row r="338" spans="1:32" s="2" customFormat="1" ht="21.95" customHeight="1">
      <c r="A338" s="135">
        <v>300297</v>
      </c>
      <c r="B338" s="135" t="s">
        <v>118</v>
      </c>
      <c r="C338" s="226" t="s">
        <v>128</v>
      </c>
      <c r="D338" s="226"/>
      <c r="E338" s="139" t="s">
        <v>37</v>
      </c>
      <c r="F338" s="141"/>
      <c r="G338" s="133">
        <f>+SUM('12:25'!G338)</f>
        <v>0</v>
      </c>
      <c r="H338" s="133">
        <f>+SUM('12:25'!H338)</f>
        <v>0</v>
      </c>
      <c r="I338" s="133">
        <f>+SUM('12:25'!I338)</f>
        <v>0</v>
      </c>
      <c r="J338" s="133">
        <f>+SUM('12:25'!J338)</f>
        <v>0</v>
      </c>
      <c r="K338" s="137">
        <f t="shared" si="48"/>
        <v>0</v>
      </c>
      <c r="L338" s="137">
        <f t="shared" si="49"/>
        <v>0</v>
      </c>
      <c r="M338" s="137">
        <v>380.63</v>
      </c>
      <c r="N338" s="137">
        <f t="shared" si="55"/>
        <v>4.4659157573624313</v>
      </c>
      <c r="O338" s="133">
        <f>+SUM('12:25'!O338)</f>
        <v>0</v>
      </c>
      <c r="P338" s="137">
        <f t="shared" si="50"/>
        <v>0</v>
      </c>
      <c r="Q338" s="133">
        <f>+SUM('12:25'!Q338)</f>
        <v>0</v>
      </c>
      <c r="R338" s="19">
        <f t="shared" si="51"/>
        <v>0</v>
      </c>
      <c r="S338" s="137">
        <f t="shared" si="52"/>
        <v>0</v>
      </c>
      <c r="T338" s="20">
        <v>4</v>
      </c>
      <c r="U338" s="133">
        <f>+SUM('12:25'!U338)</f>
        <v>0</v>
      </c>
      <c r="V338" s="143" t="str">
        <f t="array" ref="V338">IF(ISERROR(L338/K338),"",L338/K338)</f>
        <v/>
      </c>
      <c r="W338" s="133">
        <f>+SUM('12:25'!W338)</f>
        <v>0</v>
      </c>
      <c r="X338" s="133">
        <f>+SUM('12:25'!X338)</f>
        <v>0</v>
      </c>
      <c r="Y338" s="133">
        <f>+SUM('12:25'!Y338)</f>
        <v>0</v>
      </c>
      <c r="Z338" s="133">
        <f>+SUM('12:25'!Z338)</f>
        <v>0</v>
      </c>
      <c r="AA338" s="133">
        <f>+SUM('12:25'!AA338)</f>
        <v>0</v>
      </c>
      <c r="AB338" s="133">
        <f>+SUM('12:25'!AB338)</f>
        <v>0</v>
      </c>
      <c r="AC338" s="133">
        <f>+SUM('12:25'!AC338)</f>
        <v>0</v>
      </c>
      <c r="AD338" s="1">
        <f t="shared" si="46"/>
        <v>0</v>
      </c>
      <c r="AE338" s="52">
        <v>295.45999999999998</v>
      </c>
      <c r="AF338" s="1">
        <f t="shared" si="47"/>
        <v>0</v>
      </c>
    </row>
    <row r="339" spans="1:32" s="2" customFormat="1" ht="21.95" customHeight="1">
      <c r="A339" s="135">
        <v>300340</v>
      </c>
      <c r="B339" s="135" t="s">
        <v>118</v>
      </c>
      <c r="C339" s="237" t="s">
        <v>129</v>
      </c>
      <c r="D339" s="238"/>
      <c r="E339" s="139" t="s">
        <v>41</v>
      </c>
      <c r="F339" s="141"/>
      <c r="G339" s="133">
        <f>+SUM('12:25'!G339)</f>
        <v>0</v>
      </c>
      <c r="H339" s="133">
        <f>+SUM('12:25'!H339)</f>
        <v>0</v>
      </c>
      <c r="I339" s="133">
        <f>+SUM('12:25'!I339)</f>
        <v>0</v>
      </c>
      <c r="J339" s="133">
        <f>+SUM('12:25'!J339)</f>
        <v>0</v>
      </c>
      <c r="K339" s="137">
        <f t="shared" si="48"/>
        <v>0</v>
      </c>
      <c r="L339" s="137">
        <f t="shared" si="49"/>
        <v>0</v>
      </c>
      <c r="M339" s="137">
        <v>325.60000000000002</v>
      </c>
      <c r="N339" s="137">
        <f t="shared" si="55"/>
        <v>3.8202510852986036</v>
      </c>
      <c r="O339" s="133">
        <f>+SUM('12:25'!O339)</f>
        <v>0</v>
      </c>
      <c r="P339" s="137">
        <f t="shared" si="50"/>
        <v>0</v>
      </c>
      <c r="Q339" s="133">
        <f>+SUM('12:25'!Q339)</f>
        <v>0</v>
      </c>
      <c r="R339" s="19">
        <f t="shared" si="51"/>
        <v>0</v>
      </c>
      <c r="S339" s="137">
        <f t="shared" si="52"/>
        <v>0</v>
      </c>
      <c r="T339" s="20">
        <v>4</v>
      </c>
      <c r="U339" s="133">
        <f>+SUM('12:25'!U339)</f>
        <v>0</v>
      </c>
      <c r="V339" s="143"/>
      <c r="W339" s="133">
        <f>+SUM('12:25'!W339)</f>
        <v>0</v>
      </c>
      <c r="X339" s="133">
        <f>+SUM('12:25'!X339)</f>
        <v>0</v>
      </c>
      <c r="Y339" s="133">
        <f>+SUM('12:25'!Y339)</f>
        <v>0</v>
      </c>
      <c r="Z339" s="133">
        <f>+SUM('12:25'!Z339)</f>
        <v>0</v>
      </c>
      <c r="AA339" s="133">
        <f>+SUM('12:25'!AA339)</f>
        <v>0</v>
      </c>
      <c r="AB339" s="133">
        <f>+SUM('12:25'!AB339)</f>
        <v>0</v>
      </c>
      <c r="AC339" s="133">
        <f>+SUM('12:25'!AC339)</f>
        <v>0</v>
      </c>
      <c r="AD339" s="1">
        <f t="shared" si="46"/>
        <v>0</v>
      </c>
      <c r="AE339" s="52">
        <v>295.45999999999998</v>
      </c>
      <c r="AF339" s="1">
        <f t="shared" si="47"/>
        <v>0</v>
      </c>
    </row>
    <row r="340" spans="1:32" s="2" customFormat="1" ht="21.95" customHeight="1">
      <c r="A340" s="135">
        <v>300339</v>
      </c>
      <c r="B340" s="135" t="s">
        <v>118</v>
      </c>
      <c r="C340" s="237" t="s">
        <v>129</v>
      </c>
      <c r="D340" s="238"/>
      <c r="E340" s="139" t="s">
        <v>39</v>
      </c>
      <c r="F340" s="141"/>
      <c r="G340" s="133">
        <f>+SUM('12:25'!G340)</f>
        <v>0</v>
      </c>
      <c r="H340" s="133">
        <f>+SUM('12:25'!H340)</f>
        <v>0</v>
      </c>
      <c r="I340" s="133">
        <f>+SUM('12:25'!I340)</f>
        <v>0</v>
      </c>
      <c r="J340" s="133">
        <f>+SUM('12:25'!J340)</f>
        <v>0</v>
      </c>
      <c r="K340" s="137">
        <f t="shared" si="48"/>
        <v>0</v>
      </c>
      <c r="L340" s="137">
        <f t="shared" si="49"/>
        <v>0</v>
      </c>
      <c r="M340" s="137">
        <v>325.60000000000002</v>
      </c>
      <c r="N340" s="137">
        <f t="shared" si="55"/>
        <v>3.8202510852986036</v>
      </c>
      <c r="O340" s="133">
        <f>+SUM('12:25'!O340)</f>
        <v>0</v>
      </c>
      <c r="P340" s="137">
        <f t="shared" si="50"/>
        <v>0</v>
      </c>
      <c r="Q340" s="133">
        <f>+SUM('12:25'!Q340)</f>
        <v>0</v>
      </c>
      <c r="R340" s="19">
        <f t="shared" si="51"/>
        <v>0</v>
      </c>
      <c r="S340" s="137">
        <f t="shared" si="52"/>
        <v>0</v>
      </c>
      <c r="T340" s="20">
        <v>4</v>
      </c>
      <c r="U340" s="133">
        <f>+SUM('12:25'!U340)</f>
        <v>0</v>
      </c>
      <c r="V340" s="143"/>
      <c r="W340" s="133">
        <f>+SUM('12:25'!W340)</f>
        <v>0</v>
      </c>
      <c r="X340" s="133">
        <f>+SUM('12:25'!X340)</f>
        <v>0</v>
      </c>
      <c r="Y340" s="133">
        <f>+SUM('12:25'!Y340)</f>
        <v>0</v>
      </c>
      <c r="Z340" s="133">
        <f>+SUM('12:25'!Z340)</f>
        <v>0</v>
      </c>
      <c r="AA340" s="133">
        <f>+SUM('12:25'!AA340)</f>
        <v>0</v>
      </c>
      <c r="AB340" s="133">
        <f>+SUM('12:25'!AB340)</f>
        <v>0</v>
      </c>
      <c r="AC340" s="133">
        <f>+SUM('12:25'!AC340)</f>
        <v>0</v>
      </c>
      <c r="AD340" s="1">
        <f t="shared" si="46"/>
        <v>0</v>
      </c>
      <c r="AE340" s="52">
        <v>294.45999999999998</v>
      </c>
      <c r="AF340" s="1">
        <f t="shared" si="47"/>
        <v>0</v>
      </c>
    </row>
    <row r="341" spans="1:32" s="2" customFormat="1" ht="21.95" customHeight="1">
      <c r="A341" s="135">
        <v>300303</v>
      </c>
      <c r="B341" s="135" t="s">
        <v>118</v>
      </c>
      <c r="C341" s="226" t="s">
        <v>130</v>
      </c>
      <c r="D341" s="226" t="s">
        <v>131</v>
      </c>
      <c r="E341" s="139" t="s">
        <v>57</v>
      </c>
      <c r="F341" s="141"/>
      <c r="G341" s="133">
        <f>+SUM('12:25'!G341)</f>
        <v>0</v>
      </c>
      <c r="H341" s="133">
        <f>+SUM('12:25'!H341)</f>
        <v>0</v>
      </c>
      <c r="I341" s="133">
        <f>+SUM('12:25'!I341)</f>
        <v>0</v>
      </c>
      <c r="J341" s="133">
        <f>+SUM('12:25'!J341)</f>
        <v>0</v>
      </c>
      <c r="K341" s="137">
        <f t="shared" si="48"/>
        <v>0</v>
      </c>
      <c r="L341" s="137">
        <f t="shared" si="49"/>
        <v>0</v>
      </c>
      <c r="M341" s="137">
        <v>396.92</v>
      </c>
      <c r="N341" s="137">
        <f>+M341*1000/(113.8*4*15*60)*T341</f>
        <v>4.8442686975200155</v>
      </c>
      <c r="O341" s="133">
        <f>+SUM('12:25'!O341)</f>
        <v>0</v>
      </c>
      <c r="P341" s="137">
        <f t="shared" si="50"/>
        <v>0</v>
      </c>
      <c r="Q341" s="133">
        <f>+SUM('12:25'!Q341)</f>
        <v>0</v>
      </c>
      <c r="R341" s="19">
        <f t="shared" si="51"/>
        <v>0</v>
      </c>
      <c r="S341" s="137">
        <f t="shared" si="52"/>
        <v>0</v>
      </c>
      <c r="T341" s="20">
        <v>5</v>
      </c>
      <c r="U341" s="133">
        <f>+SUM('12:25'!U341)</f>
        <v>0</v>
      </c>
      <c r="V341" s="143" t="str">
        <f t="array" ref="V341">IF(ISERROR(L341/K341),"",L341/K341)</f>
        <v/>
      </c>
      <c r="W341" s="133">
        <f>+SUM('12:25'!W341)</f>
        <v>0</v>
      </c>
      <c r="X341" s="133">
        <f>+SUM('12:25'!X341)</f>
        <v>0</v>
      </c>
      <c r="Y341" s="133">
        <f>+SUM('12:25'!Y341)</f>
        <v>0</v>
      </c>
      <c r="Z341" s="133">
        <f>+SUM('12:25'!Z341)</f>
        <v>0</v>
      </c>
      <c r="AA341" s="133">
        <f>+SUM('12:25'!AA341)</f>
        <v>0</v>
      </c>
      <c r="AB341" s="133">
        <f>+SUM('12:25'!AB341)</f>
        <v>0</v>
      </c>
      <c r="AC341" s="133">
        <f>+SUM('12:25'!AC341)</f>
        <v>0</v>
      </c>
      <c r="AD341" s="1">
        <f t="shared" si="46"/>
        <v>0</v>
      </c>
      <c r="AE341" s="52">
        <v>275.69</v>
      </c>
      <c r="AF341" s="1">
        <f t="shared" si="47"/>
        <v>0</v>
      </c>
    </row>
    <row r="342" spans="1:32" s="2" customFormat="1" ht="21.95" customHeight="1">
      <c r="A342" s="135">
        <v>300302</v>
      </c>
      <c r="B342" s="135" t="s">
        <v>118</v>
      </c>
      <c r="C342" s="226" t="s">
        <v>130</v>
      </c>
      <c r="D342" s="226" t="s">
        <v>131</v>
      </c>
      <c r="E342" s="139" t="s">
        <v>117</v>
      </c>
      <c r="F342" s="141"/>
      <c r="G342" s="133">
        <f>+SUM('12:25'!G342)</f>
        <v>0</v>
      </c>
      <c r="H342" s="133">
        <f>+SUM('12:25'!H342)</f>
        <v>0</v>
      </c>
      <c r="I342" s="133">
        <f>+SUM('12:25'!I342)</f>
        <v>0</v>
      </c>
      <c r="J342" s="133">
        <f>+SUM('12:25'!J342)</f>
        <v>0</v>
      </c>
      <c r="K342" s="137">
        <f t="shared" si="48"/>
        <v>0</v>
      </c>
      <c r="L342" s="137">
        <f t="shared" si="49"/>
        <v>0</v>
      </c>
      <c r="M342" s="137">
        <v>396.06</v>
      </c>
      <c r="N342" s="137">
        <f>+M342*1000/(113.8*4*15*60)*T342</f>
        <v>4.8337727006444053</v>
      </c>
      <c r="O342" s="133">
        <f>+SUM('12:25'!O342)</f>
        <v>0</v>
      </c>
      <c r="P342" s="137">
        <f t="shared" si="50"/>
        <v>0</v>
      </c>
      <c r="Q342" s="133">
        <f>+SUM('12:25'!Q342)</f>
        <v>0</v>
      </c>
      <c r="R342" s="19">
        <f t="shared" si="51"/>
        <v>0</v>
      </c>
      <c r="S342" s="137">
        <f t="shared" si="52"/>
        <v>0</v>
      </c>
      <c r="T342" s="20">
        <v>5</v>
      </c>
      <c r="U342" s="133">
        <f>+SUM('12:25'!U342)</f>
        <v>0</v>
      </c>
      <c r="V342" s="143" t="str">
        <f t="array" ref="V342">IF(ISERROR(L342/K342),"",L342/K342)</f>
        <v/>
      </c>
      <c r="W342" s="133">
        <f>+SUM('12:25'!W342)</f>
        <v>0</v>
      </c>
      <c r="X342" s="133">
        <f>+SUM('12:25'!X342)</f>
        <v>0</v>
      </c>
      <c r="Y342" s="133">
        <f>+SUM('12:25'!Y342)</f>
        <v>0</v>
      </c>
      <c r="Z342" s="133">
        <f>+SUM('12:25'!Z342)</f>
        <v>0</v>
      </c>
      <c r="AA342" s="133">
        <f>+SUM('12:25'!AA342)</f>
        <v>0</v>
      </c>
      <c r="AB342" s="133">
        <f>+SUM('12:25'!AB342)</f>
        <v>0</v>
      </c>
      <c r="AC342" s="133">
        <f>+SUM('12:25'!AC342)</f>
        <v>0</v>
      </c>
      <c r="AD342" s="1">
        <f t="shared" si="46"/>
        <v>0</v>
      </c>
      <c r="AE342" s="52">
        <v>275.69</v>
      </c>
      <c r="AF342" s="1">
        <f t="shared" si="47"/>
        <v>0</v>
      </c>
    </row>
    <row r="343" spans="1:32" s="2" customFormat="1" ht="21.95" customHeight="1">
      <c r="A343" s="135">
        <v>300301</v>
      </c>
      <c r="B343" s="135" t="s">
        <v>118</v>
      </c>
      <c r="C343" s="226" t="s">
        <v>130</v>
      </c>
      <c r="D343" s="226" t="s">
        <v>131</v>
      </c>
      <c r="E343" s="139" t="s">
        <v>132</v>
      </c>
      <c r="F343" s="141"/>
      <c r="G343" s="133">
        <f>+SUM('12:25'!G343)</f>
        <v>0</v>
      </c>
      <c r="H343" s="133">
        <f>+SUM('12:25'!H343)</f>
        <v>0</v>
      </c>
      <c r="I343" s="133">
        <f>+SUM('12:25'!I343)</f>
        <v>0</v>
      </c>
      <c r="J343" s="133">
        <f>+SUM('12:25'!J343)</f>
        <v>0</v>
      </c>
      <c r="K343" s="137">
        <f t="shared" si="48"/>
        <v>0</v>
      </c>
      <c r="L343" s="137">
        <f t="shared" si="49"/>
        <v>0</v>
      </c>
      <c r="M343" s="137">
        <v>401.25</v>
      </c>
      <c r="N343" s="137">
        <f>+M343*1000/(113.8*4*15*60)*T343</f>
        <v>4.8971148213239601</v>
      </c>
      <c r="O343" s="133">
        <f>+SUM('12:25'!O343)</f>
        <v>0</v>
      </c>
      <c r="P343" s="137">
        <f t="shared" si="50"/>
        <v>0</v>
      </c>
      <c r="Q343" s="133">
        <f>+SUM('12:25'!Q343)</f>
        <v>0</v>
      </c>
      <c r="R343" s="19">
        <f t="shared" si="51"/>
        <v>0</v>
      </c>
      <c r="S343" s="137">
        <f t="shared" si="52"/>
        <v>0</v>
      </c>
      <c r="T343" s="20">
        <v>5</v>
      </c>
      <c r="U343" s="133">
        <f>+SUM('12:25'!U343)</f>
        <v>0</v>
      </c>
      <c r="V343" s="143" t="str">
        <f t="array" ref="V343">IF(ISERROR(L343/K343),"",L343/K343)</f>
        <v/>
      </c>
      <c r="W343" s="133">
        <f>+SUM('12:25'!W343)</f>
        <v>0</v>
      </c>
      <c r="X343" s="133">
        <f>+SUM('12:25'!X343)</f>
        <v>0</v>
      </c>
      <c r="Y343" s="133">
        <f>+SUM('12:25'!Y343)</f>
        <v>0</v>
      </c>
      <c r="Z343" s="133">
        <f>+SUM('12:25'!Z343)</f>
        <v>0</v>
      </c>
      <c r="AA343" s="133">
        <f>+SUM('12:25'!AA343)</f>
        <v>0</v>
      </c>
      <c r="AB343" s="133">
        <f>+SUM('12:25'!AB343)</f>
        <v>0</v>
      </c>
      <c r="AC343" s="133">
        <f>+SUM('12:25'!AC343)</f>
        <v>0</v>
      </c>
      <c r="AD343" s="1">
        <f t="shared" si="46"/>
        <v>0</v>
      </c>
      <c r="AE343" s="52">
        <v>275.69</v>
      </c>
      <c r="AF343" s="1">
        <f t="shared" si="47"/>
        <v>0</v>
      </c>
    </row>
    <row r="344" spans="1:32" s="2" customFormat="1" ht="21.95" customHeight="1">
      <c r="A344" s="140">
        <v>300304</v>
      </c>
      <c r="B344" s="135" t="s">
        <v>118</v>
      </c>
      <c r="C344" s="226" t="s">
        <v>130</v>
      </c>
      <c r="D344" s="226"/>
      <c r="E344" s="139" t="s">
        <v>133</v>
      </c>
      <c r="F344" s="141"/>
      <c r="G344" s="133">
        <f>+SUM('12:25'!G344)</f>
        <v>0</v>
      </c>
      <c r="H344" s="133">
        <f>+SUM('12:25'!H344)</f>
        <v>0</v>
      </c>
      <c r="I344" s="133">
        <f>+SUM('12:25'!I344)</f>
        <v>0</v>
      </c>
      <c r="J344" s="133">
        <f>+SUM('12:25'!J344)</f>
        <v>0</v>
      </c>
      <c r="K344" s="137">
        <f t="shared" si="48"/>
        <v>0</v>
      </c>
      <c r="L344" s="137">
        <f t="shared" si="49"/>
        <v>0</v>
      </c>
      <c r="M344" s="137">
        <v>401.25</v>
      </c>
      <c r="N344" s="137">
        <f>+M344*1000/(113.8*4*15*60)*T344</f>
        <v>4.8971148213239601</v>
      </c>
      <c r="O344" s="133">
        <f>+SUM('12:25'!O344)</f>
        <v>0</v>
      </c>
      <c r="P344" s="137">
        <f t="shared" si="50"/>
        <v>0</v>
      </c>
      <c r="Q344" s="133">
        <f>+SUM('12:25'!Q344)</f>
        <v>0</v>
      </c>
      <c r="R344" s="19">
        <f t="shared" si="51"/>
        <v>0</v>
      </c>
      <c r="S344" s="137">
        <f t="shared" si="52"/>
        <v>0</v>
      </c>
      <c r="T344" s="20">
        <v>5</v>
      </c>
      <c r="U344" s="133">
        <f>+SUM('12:25'!U344)</f>
        <v>0</v>
      </c>
      <c r="V344" s="143" t="str">
        <f t="array" ref="V344">IF(ISERROR(L344/K344),"",L344/K344)</f>
        <v/>
      </c>
      <c r="W344" s="133">
        <f>+SUM('12:25'!W344)</f>
        <v>0</v>
      </c>
      <c r="X344" s="133">
        <f>+SUM('12:25'!X344)</f>
        <v>0</v>
      </c>
      <c r="Y344" s="133">
        <f>+SUM('12:25'!Y344)</f>
        <v>0</v>
      </c>
      <c r="Z344" s="133">
        <f>+SUM('12:25'!Z344)</f>
        <v>0</v>
      </c>
      <c r="AA344" s="133">
        <f>+SUM('12:25'!AA344)</f>
        <v>0</v>
      </c>
      <c r="AB344" s="133">
        <f>+SUM('12:25'!AB344)</f>
        <v>0</v>
      </c>
      <c r="AC344" s="133">
        <f>+SUM('12:25'!AC344)</f>
        <v>0</v>
      </c>
      <c r="AD344" s="1">
        <f t="shared" ref="AD344:AD407" si="56">+L344/1000</f>
        <v>0</v>
      </c>
      <c r="AE344" s="52">
        <v>275.69</v>
      </c>
      <c r="AF344" s="1">
        <f t="shared" ref="AF344:AF407" si="57">+AD344*AE344</f>
        <v>0</v>
      </c>
    </row>
    <row r="345" spans="1:32" s="2" customFormat="1" ht="21.95" customHeight="1">
      <c r="A345" s="140">
        <v>300300</v>
      </c>
      <c r="B345" s="135" t="s">
        <v>118</v>
      </c>
      <c r="C345" s="226" t="s">
        <v>130</v>
      </c>
      <c r="D345" s="226" t="s">
        <v>131</v>
      </c>
      <c r="E345" s="139" t="s">
        <v>54</v>
      </c>
      <c r="F345" s="141"/>
      <c r="G345" s="133">
        <f>+SUM('12:25'!G345)</f>
        <v>0</v>
      </c>
      <c r="H345" s="133">
        <f>+SUM('12:25'!H345)</f>
        <v>0</v>
      </c>
      <c r="I345" s="133">
        <f>+SUM('12:25'!I345)</f>
        <v>0</v>
      </c>
      <c r="J345" s="133">
        <f>+SUM('12:25'!J345)</f>
        <v>0</v>
      </c>
      <c r="K345" s="137">
        <f t="shared" si="48"/>
        <v>0</v>
      </c>
      <c r="L345" s="137">
        <f t="shared" si="49"/>
        <v>0</v>
      </c>
      <c r="M345" s="137">
        <v>399.07</v>
      </c>
      <c r="N345" s="137">
        <f>+M345*1000/(113.8*4*15*60)*T345</f>
        <v>4.8705086897090411</v>
      </c>
      <c r="O345" s="133">
        <f>+SUM('12:25'!O345)</f>
        <v>0</v>
      </c>
      <c r="P345" s="137">
        <f t="shared" si="50"/>
        <v>0</v>
      </c>
      <c r="Q345" s="133">
        <f>+SUM('12:25'!Q345)</f>
        <v>0</v>
      </c>
      <c r="R345" s="19">
        <f t="shared" si="51"/>
        <v>0</v>
      </c>
      <c r="S345" s="137">
        <f t="shared" si="52"/>
        <v>0</v>
      </c>
      <c r="T345" s="20">
        <v>5</v>
      </c>
      <c r="U345" s="133">
        <f>+SUM('12:25'!U345)</f>
        <v>0</v>
      </c>
      <c r="V345" s="143" t="str">
        <f t="array" ref="V345">IF(ISERROR(L345/K345),"",L345/K345)</f>
        <v/>
      </c>
      <c r="W345" s="133">
        <f>+SUM('12:25'!W345)</f>
        <v>0</v>
      </c>
      <c r="X345" s="133">
        <f>+SUM('12:25'!X345)</f>
        <v>0</v>
      </c>
      <c r="Y345" s="133">
        <f>+SUM('12:25'!Y345)</f>
        <v>0</v>
      </c>
      <c r="Z345" s="133">
        <f>+SUM('12:25'!Z345)</f>
        <v>0</v>
      </c>
      <c r="AA345" s="133">
        <f>+SUM('12:25'!AA345)</f>
        <v>0</v>
      </c>
      <c r="AB345" s="133">
        <f>+SUM('12:25'!AB345)</f>
        <v>0</v>
      </c>
      <c r="AC345" s="133">
        <f>+SUM('12:25'!AC345)</f>
        <v>0</v>
      </c>
      <c r="AD345" s="1">
        <f t="shared" si="56"/>
        <v>0</v>
      </c>
      <c r="AE345" s="52">
        <v>275.69</v>
      </c>
      <c r="AF345" s="1">
        <f t="shared" si="57"/>
        <v>0</v>
      </c>
    </row>
    <row r="346" spans="1:32" s="2" customFormat="1" ht="21.95" customHeight="1">
      <c r="A346" s="140">
        <v>300085</v>
      </c>
      <c r="B346" s="135" t="s">
        <v>118</v>
      </c>
      <c r="C346" s="226" t="s">
        <v>134</v>
      </c>
      <c r="D346" s="226" t="s">
        <v>131</v>
      </c>
      <c r="E346" s="139" t="s">
        <v>135</v>
      </c>
      <c r="F346" s="141"/>
      <c r="G346" s="133">
        <f>+SUM('12:25'!G346)</f>
        <v>7</v>
      </c>
      <c r="H346" s="133">
        <f>+SUM('12:25'!H346)</f>
        <v>0</v>
      </c>
      <c r="I346" s="133">
        <f>+SUM('12:25'!I346)</f>
        <v>7</v>
      </c>
      <c r="J346" s="133">
        <f>+SUM('12:25'!J346)</f>
        <v>0</v>
      </c>
      <c r="K346" s="137">
        <f t="shared" si="48"/>
        <v>2760.1</v>
      </c>
      <c r="L346" s="137">
        <f t="shared" si="49"/>
        <v>2760.1</v>
      </c>
      <c r="M346" s="137">
        <v>394.3</v>
      </c>
      <c r="N346" s="137">
        <f>+M346*1000/(104.2*4*15*60)*T346</f>
        <v>6.3067818298144598</v>
      </c>
      <c r="O346" s="133">
        <f>+SUM('12:25'!O346)</f>
        <v>0</v>
      </c>
      <c r="P346" s="137">
        <f t="shared" si="50"/>
        <v>44.147472808701217</v>
      </c>
      <c r="Q346" s="133">
        <f>+SUM('12:25'!Q346)</f>
        <v>9</v>
      </c>
      <c r="R346" s="19">
        <f t="shared" si="51"/>
        <v>63</v>
      </c>
      <c r="S346" s="137">
        <f t="shared" si="52"/>
        <v>18.852527191298783</v>
      </c>
      <c r="T346" s="20">
        <v>6</v>
      </c>
      <c r="U346" s="133">
        <f>+SUM('12:25'!U346)</f>
        <v>7</v>
      </c>
      <c r="V346" s="143">
        <f t="array" ref="V346">IF(ISERROR(L346/K346),"",L346/K346)</f>
        <v>1</v>
      </c>
      <c r="W346" s="133">
        <f>+SUM('12:25'!W346)</f>
        <v>0</v>
      </c>
      <c r="X346" s="133">
        <f>+SUM('12:25'!X346)</f>
        <v>0</v>
      </c>
      <c r="Y346" s="133">
        <f>+SUM('12:25'!Y346)</f>
        <v>0</v>
      </c>
      <c r="Z346" s="133">
        <f>+SUM('12:25'!Z346)</f>
        <v>0</v>
      </c>
      <c r="AA346" s="133">
        <f>+SUM('12:25'!AA346)</f>
        <v>2.5</v>
      </c>
      <c r="AB346" s="133">
        <f>+SUM('12:25'!AB346)</f>
        <v>0</v>
      </c>
      <c r="AC346" s="133">
        <f>+SUM('12:25'!AC346)</f>
        <v>0</v>
      </c>
      <c r="AD346" s="1">
        <f t="shared" si="56"/>
        <v>2.7601</v>
      </c>
      <c r="AE346" s="52">
        <v>327.85</v>
      </c>
      <c r="AF346" s="1">
        <f t="shared" si="57"/>
        <v>904.89878500000009</v>
      </c>
    </row>
    <row r="347" spans="1:32" s="2" customFormat="1" ht="21.95" customHeight="1">
      <c r="A347" s="140">
        <v>300087</v>
      </c>
      <c r="B347" s="135" t="s">
        <v>118</v>
      </c>
      <c r="C347" s="226" t="s">
        <v>134</v>
      </c>
      <c r="D347" s="226" t="s">
        <v>131</v>
      </c>
      <c r="E347" s="139" t="s">
        <v>80</v>
      </c>
      <c r="F347" s="141"/>
      <c r="G347" s="133">
        <f>+SUM('12:25'!G347)</f>
        <v>0</v>
      </c>
      <c r="H347" s="133">
        <f>+SUM('12:25'!H347)</f>
        <v>0</v>
      </c>
      <c r="I347" s="133">
        <f>+SUM('12:25'!I347)</f>
        <v>0</v>
      </c>
      <c r="J347" s="133">
        <f>+SUM('12:25'!J347)</f>
        <v>0</v>
      </c>
      <c r="K347" s="137">
        <f t="shared" si="48"/>
        <v>0</v>
      </c>
      <c r="L347" s="137">
        <f t="shared" si="49"/>
        <v>0</v>
      </c>
      <c r="M347" s="137">
        <v>380.1</v>
      </c>
      <c r="N347" s="137">
        <f>+M347*1000/(104.2*4*16*60)*T347</f>
        <v>4.7497300863723604</v>
      </c>
      <c r="O347" s="133">
        <f>+SUM('12:25'!O347)</f>
        <v>0</v>
      </c>
      <c r="P347" s="137">
        <f t="shared" si="50"/>
        <v>0</v>
      </c>
      <c r="Q347" s="133">
        <f>+SUM('12:25'!Q347)</f>
        <v>0</v>
      </c>
      <c r="R347" s="19">
        <f t="shared" si="51"/>
        <v>0</v>
      </c>
      <c r="S347" s="137">
        <f t="shared" si="52"/>
        <v>0</v>
      </c>
      <c r="T347" s="20">
        <v>5</v>
      </c>
      <c r="U347" s="133">
        <f>+SUM('12:25'!U347)</f>
        <v>0</v>
      </c>
      <c r="V347" s="143" t="str">
        <f t="array" ref="V347">IF(ISERROR(L347/K347),"",L347/K347)</f>
        <v/>
      </c>
      <c r="W347" s="133">
        <f>+SUM('12:25'!W347)</f>
        <v>0</v>
      </c>
      <c r="X347" s="133">
        <f>+SUM('12:25'!X347)</f>
        <v>0</v>
      </c>
      <c r="Y347" s="133">
        <f>+SUM('12:25'!Y347)</f>
        <v>0</v>
      </c>
      <c r="Z347" s="133">
        <f>+SUM('12:25'!Z347)</f>
        <v>0</v>
      </c>
      <c r="AA347" s="133">
        <f>+SUM('12:25'!AA347)</f>
        <v>0</v>
      </c>
      <c r="AB347" s="133">
        <f>+SUM('12:25'!AB347)</f>
        <v>0</v>
      </c>
      <c r="AC347" s="133">
        <f>+SUM('12:25'!AC347)</f>
        <v>0</v>
      </c>
      <c r="AD347" s="1">
        <f t="shared" si="56"/>
        <v>0</v>
      </c>
      <c r="AE347" s="52">
        <v>281.02</v>
      </c>
      <c r="AF347" s="1">
        <f t="shared" si="57"/>
        <v>0</v>
      </c>
    </row>
    <row r="348" spans="1:32" s="2" customFormat="1" ht="21" customHeight="1">
      <c r="A348" s="140">
        <v>300387</v>
      </c>
      <c r="B348" s="135" t="s">
        <v>136</v>
      </c>
      <c r="C348" s="237" t="s">
        <v>137</v>
      </c>
      <c r="D348" s="238"/>
      <c r="E348" s="139" t="s">
        <v>57</v>
      </c>
      <c r="F348" s="141"/>
      <c r="G348" s="133">
        <f>+SUM('12:25'!G348)</f>
        <v>0</v>
      </c>
      <c r="H348" s="133">
        <f>+SUM('12:25'!H348)</f>
        <v>0</v>
      </c>
      <c r="I348" s="133">
        <f>+SUM('12:25'!I348)</f>
        <v>0</v>
      </c>
      <c r="J348" s="133">
        <f>+SUM('12:25'!J348)</f>
        <v>0</v>
      </c>
      <c r="K348" s="137">
        <f t="shared" si="48"/>
        <v>0</v>
      </c>
      <c r="L348" s="137">
        <f t="shared" si="49"/>
        <v>0</v>
      </c>
      <c r="M348" s="137">
        <v>352.29</v>
      </c>
      <c r="N348" s="137">
        <f>+M348*1000/(104.2*4*16*60)*T348</f>
        <v>4.4022162907869484</v>
      </c>
      <c r="O348" s="133">
        <f>+SUM('12:25'!O348)</f>
        <v>0</v>
      </c>
      <c r="P348" s="137">
        <f t="shared" si="50"/>
        <v>0</v>
      </c>
      <c r="Q348" s="133">
        <f>+SUM('12:25'!Q348)</f>
        <v>0</v>
      </c>
      <c r="R348" s="19">
        <f t="shared" si="51"/>
        <v>0</v>
      </c>
      <c r="S348" s="137">
        <f t="shared" si="52"/>
        <v>0</v>
      </c>
      <c r="T348" s="20">
        <v>5</v>
      </c>
      <c r="U348" s="133">
        <f>+SUM('12:25'!U348)</f>
        <v>0</v>
      </c>
      <c r="V348" s="143" t="str">
        <f t="array" ref="V348">IF(ISERROR(L348/K348),"",L348/K348)</f>
        <v/>
      </c>
      <c r="W348" s="133">
        <f>+SUM('12:25'!W348)</f>
        <v>0</v>
      </c>
      <c r="X348" s="133">
        <f>+SUM('12:25'!X348)</f>
        <v>0</v>
      </c>
      <c r="Y348" s="133">
        <f>+SUM('12:25'!Y348)</f>
        <v>0</v>
      </c>
      <c r="Z348" s="133">
        <f>+SUM('12:25'!Z348)</f>
        <v>0</v>
      </c>
      <c r="AA348" s="133">
        <f>+SUM('12:25'!AA348)</f>
        <v>0</v>
      </c>
      <c r="AB348" s="133">
        <f>+SUM('12:25'!AB348)</f>
        <v>0</v>
      </c>
      <c r="AC348" s="133">
        <f>+SUM('12:25'!AC348)</f>
        <v>0</v>
      </c>
      <c r="AD348" s="1">
        <f t="shared" si="56"/>
        <v>0</v>
      </c>
      <c r="AE348" s="52"/>
      <c r="AF348" s="1">
        <f t="shared" si="57"/>
        <v>0</v>
      </c>
    </row>
    <row r="349" spans="1:32" s="2" customFormat="1" ht="21.95" customHeight="1">
      <c r="A349" s="140">
        <v>300388</v>
      </c>
      <c r="B349" s="135" t="s">
        <v>138</v>
      </c>
      <c r="C349" s="237" t="s">
        <v>137</v>
      </c>
      <c r="D349" s="238"/>
      <c r="E349" s="139" t="s">
        <v>117</v>
      </c>
      <c r="F349" s="141"/>
      <c r="G349" s="133">
        <f>+SUM('12:25'!G349)</f>
        <v>0</v>
      </c>
      <c r="H349" s="133">
        <f>+SUM('12:25'!H349)</f>
        <v>0</v>
      </c>
      <c r="I349" s="133">
        <f>+SUM('12:25'!I349)</f>
        <v>0</v>
      </c>
      <c r="J349" s="133">
        <f>+SUM('12:25'!J349)</f>
        <v>0</v>
      </c>
      <c r="K349" s="137">
        <f t="shared" si="48"/>
        <v>0</v>
      </c>
      <c r="L349" s="137">
        <f t="shared" si="49"/>
        <v>0</v>
      </c>
      <c r="M349" s="137">
        <v>352.29</v>
      </c>
      <c r="N349" s="137">
        <f>+M349*1000/(104.2*4*16*60)*T349</f>
        <v>4.4022162907869484</v>
      </c>
      <c r="O349" s="133">
        <f>+SUM('12:25'!O349)</f>
        <v>0</v>
      </c>
      <c r="P349" s="137">
        <f t="shared" si="50"/>
        <v>0</v>
      </c>
      <c r="Q349" s="133">
        <f>+SUM('12:25'!Q349)</f>
        <v>0</v>
      </c>
      <c r="R349" s="19">
        <f t="shared" si="51"/>
        <v>0</v>
      </c>
      <c r="S349" s="137">
        <f t="shared" si="52"/>
        <v>0</v>
      </c>
      <c r="T349" s="20">
        <v>5</v>
      </c>
      <c r="U349" s="133">
        <f>+SUM('12:25'!U349)</f>
        <v>0</v>
      </c>
      <c r="V349" s="143" t="str">
        <f t="array" ref="V349">IF(ISERROR(L349/K349),"",L349/K349)</f>
        <v/>
      </c>
      <c r="W349" s="133">
        <f>+SUM('12:25'!W349)</f>
        <v>0</v>
      </c>
      <c r="X349" s="133">
        <f>+SUM('12:25'!X349)</f>
        <v>0</v>
      </c>
      <c r="Y349" s="133">
        <f>+SUM('12:25'!Y349)</f>
        <v>0</v>
      </c>
      <c r="Z349" s="133">
        <f>+SUM('12:25'!Z349)</f>
        <v>0</v>
      </c>
      <c r="AA349" s="133">
        <f>+SUM('12:25'!AA349)</f>
        <v>0</v>
      </c>
      <c r="AB349" s="133">
        <f>+SUM('12:25'!AB349)</f>
        <v>0</v>
      </c>
      <c r="AC349" s="133">
        <f>+SUM('12:25'!AC349)</f>
        <v>0</v>
      </c>
      <c r="AD349" s="1">
        <f t="shared" si="56"/>
        <v>0</v>
      </c>
      <c r="AE349" s="52">
        <v>234.18</v>
      </c>
      <c r="AF349" s="1">
        <f t="shared" si="57"/>
        <v>0</v>
      </c>
    </row>
    <row r="350" spans="1:32" s="2" customFormat="1" ht="21.95" customHeight="1">
      <c r="A350" s="140">
        <v>300123</v>
      </c>
      <c r="B350" s="135" t="s">
        <v>118</v>
      </c>
      <c r="C350" s="226" t="s">
        <v>139</v>
      </c>
      <c r="D350" s="226" t="s">
        <v>140</v>
      </c>
      <c r="E350" s="139" t="s">
        <v>135</v>
      </c>
      <c r="F350" s="141"/>
      <c r="G350" s="133">
        <f>+SUM('12:25'!G350)</f>
        <v>0</v>
      </c>
      <c r="H350" s="133">
        <f>+SUM('12:25'!H350)</f>
        <v>0</v>
      </c>
      <c r="I350" s="133">
        <f>+SUM('12:25'!I350)</f>
        <v>0</v>
      </c>
      <c r="J350" s="133">
        <f>+SUM('12:25'!J350)</f>
        <v>0</v>
      </c>
      <c r="K350" s="137">
        <f t="shared" si="48"/>
        <v>0</v>
      </c>
      <c r="L350" s="137">
        <f t="shared" si="49"/>
        <v>0</v>
      </c>
      <c r="M350" s="137">
        <v>557</v>
      </c>
      <c r="N350" s="137">
        <f>+M350*1000/(126.5*4*15*60)*T350</f>
        <v>6.1155028546332888</v>
      </c>
      <c r="O350" s="133">
        <f>+SUM('12:25'!O350)</f>
        <v>0</v>
      </c>
      <c r="P350" s="137">
        <f t="shared" si="50"/>
        <v>0</v>
      </c>
      <c r="Q350" s="133">
        <f>+SUM('12:25'!Q350)</f>
        <v>0</v>
      </c>
      <c r="R350" s="19">
        <f t="shared" si="51"/>
        <v>0</v>
      </c>
      <c r="S350" s="137">
        <f t="shared" si="52"/>
        <v>0</v>
      </c>
      <c r="T350" s="20">
        <v>5</v>
      </c>
      <c r="U350" s="133">
        <f>+SUM('12:25'!U350)</f>
        <v>0</v>
      </c>
      <c r="V350" s="143" t="str">
        <f t="array" ref="V350">IF(ISERROR(L350/K350),"",L350/K350)</f>
        <v/>
      </c>
      <c r="W350" s="133">
        <f>+SUM('12:25'!W350)</f>
        <v>0</v>
      </c>
      <c r="X350" s="133">
        <f>+SUM('12:25'!X350)</f>
        <v>0</v>
      </c>
      <c r="Y350" s="133">
        <f>+SUM('12:25'!Y350)</f>
        <v>0</v>
      </c>
      <c r="Z350" s="133">
        <f>+SUM('12:25'!Z350)</f>
        <v>0</v>
      </c>
      <c r="AA350" s="133">
        <f>+SUM('12:25'!AA350)</f>
        <v>0</v>
      </c>
      <c r="AB350" s="133">
        <f>+SUM('12:25'!AB350)</f>
        <v>0</v>
      </c>
      <c r="AC350" s="133">
        <f>+SUM('12:25'!AC350)</f>
        <v>0</v>
      </c>
      <c r="AD350" s="1">
        <f t="shared" si="56"/>
        <v>0</v>
      </c>
      <c r="AE350" s="52">
        <v>248.01</v>
      </c>
      <c r="AF350" s="1">
        <f t="shared" si="57"/>
        <v>0</v>
      </c>
    </row>
    <row r="351" spans="1:32" s="2" customFormat="1" ht="21.95" customHeight="1">
      <c r="A351" s="140">
        <v>300270</v>
      </c>
      <c r="B351" s="135" t="s">
        <v>118</v>
      </c>
      <c r="C351" s="226" t="s">
        <v>141</v>
      </c>
      <c r="D351" s="226"/>
      <c r="E351" s="139" t="s">
        <v>142</v>
      </c>
      <c r="F351" s="141"/>
      <c r="G351" s="133">
        <f>+SUM('12:25'!G351)</f>
        <v>0</v>
      </c>
      <c r="H351" s="133">
        <f>+SUM('12:25'!H351)</f>
        <v>0</v>
      </c>
      <c r="I351" s="133">
        <f>+SUM('12:25'!I351)</f>
        <v>0</v>
      </c>
      <c r="J351" s="133">
        <f>+SUM('12:25'!J351)</f>
        <v>0</v>
      </c>
      <c r="K351" s="137">
        <f t="shared" si="48"/>
        <v>0</v>
      </c>
      <c r="L351" s="137">
        <f t="shared" si="49"/>
        <v>0</v>
      </c>
      <c r="M351" s="137">
        <v>485.7</v>
      </c>
      <c r="N351" s="137">
        <f>+M351*1000/(126.5*4*15*60)*T351</f>
        <v>4.2661396574440049</v>
      </c>
      <c r="O351" s="133">
        <f>+SUM('12:25'!O351)</f>
        <v>0</v>
      </c>
      <c r="P351" s="137">
        <f t="shared" si="50"/>
        <v>0</v>
      </c>
      <c r="Q351" s="133">
        <f>+SUM('12:25'!Q351)</f>
        <v>0</v>
      </c>
      <c r="R351" s="19">
        <f t="shared" si="51"/>
        <v>0</v>
      </c>
      <c r="S351" s="137">
        <f t="shared" si="52"/>
        <v>0</v>
      </c>
      <c r="T351" s="20">
        <v>4</v>
      </c>
      <c r="U351" s="133">
        <f>+SUM('12:25'!U351)</f>
        <v>0</v>
      </c>
      <c r="V351" s="143" t="str">
        <f t="array" ref="V351">IF(ISERROR(L351/K351),"",L351/K351)</f>
        <v/>
      </c>
      <c r="W351" s="133">
        <f>+SUM('12:25'!W351)</f>
        <v>0</v>
      </c>
      <c r="X351" s="133">
        <f>+SUM('12:25'!X351)</f>
        <v>0</v>
      </c>
      <c r="Y351" s="133">
        <f>+SUM('12:25'!Y351)</f>
        <v>0</v>
      </c>
      <c r="Z351" s="133">
        <f>+SUM('12:25'!Z351)</f>
        <v>0</v>
      </c>
      <c r="AA351" s="133">
        <f>+SUM('12:25'!AA351)</f>
        <v>0</v>
      </c>
      <c r="AB351" s="133">
        <f>+SUM('12:25'!AB351)</f>
        <v>0</v>
      </c>
      <c r="AC351" s="133">
        <f>+SUM('12:25'!AC351)</f>
        <v>0</v>
      </c>
      <c r="AD351" s="1">
        <f t="shared" si="56"/>
        <v>0</v>
      </c>
      <c r="AE351" s="52">
        <v>197.49</v>
      </c>
      <c r="AF351" s="1">
        <f t="shared" si="57"/>
        <v>0</v>
      </c>
    </row>
    <row r="352" spans="1:32" s="2" customFormat="1" ht="21.95" customHeight="1">
      <c r="A352" s="140">
        <v>300336</v>
      </c>
      <c r="B352" s="135" t="s">
        <v>118</v>
      </c>
      <c r="C352" s="226" t="s">
        <v>143</v>
      </c>
      <c r="D352" s="226"/>
      <c r="E352" s="139" t="s">
        <v>84</v>
      </c>
      <c r="F352" s="141"/>
      <c r="G352" s="133">
        <f>+SUM('12:25'!G352)</f>
        <v>0</v>
      </c>
      <c r="H352" s="133">
        <f>+SUM('12:25'!H352)</f>
        <v>0</v>
      </c>
      <c r="I352" s="133">
        <f>+SUM('12:25'!I352)</f>
        <v>0</v>
      </c>
      <c r="J352" s="133">
        <f>+SUM('12:25'!J352)</f>
        <v>0</v>
      </c>
      <c r="K352" s="137">
        <f t="shared" si="48"/>
        <v>0</v>
      </c>
      <c r="L352" s="137">
        <f t="shared" si="49"/>
        <v>0</v>
      </c>
      <c r="M352" s="137">
        <v>411.4</v>
      </c>
      <c r="N352" s="137">
        <f>+M352*1000/(104.2*4*16*60)*T352</f>
        <v>2.0563419705694179</v>
      </c>
      <c r="O352" s="133">
        <f>+SUM('12:25'!O352)</f>
        <v>0</v>
      </c>
      <c r="P352" s="137">
        <f t="shared" si="50"/>
        <v>0</v>
      </c>
      <c r="Q352" s="133">
        <f>+SUM('12:25'!Q352)</f>
        <v>0</v>
      </c>
      <c r="R352" s="19">
        <f t="shared" si="51"/>
        <v>0</v>
      </c>
      <c r="S352" s="137">
        <f t="shared" si="52"/>
        <v>0</v>
      </c>
      <c r="T352" s="20">
        <v>2</v>
      </c>
      <c r="U352" s="133">
        <f>+SUM('12:25'!U352)</f>
        <v>0</v>
      </c>
      <c r="V352" s="143" t="str">
        <f t="array" ref="V352">IF(ISERROR(L352/K352),"",L352/K352)</f>
        <v/>
      </c>
      <c r="W352" s="133">
        <f>+SUM('12:25'!W352)</f>
        <v>0</v>
      </c>
      <c r="X352" s="133">
        <f>+SUM('12:25'!X352)</f>
        <v>0</v>
      </c>
      <c r="Y352" s="133">
        <f>+SUM('12:25'!Y352)</f>
        <v>0</v>
      </c>
      <c r="Z352" s="133">
        <f>+SUM('12:25'!Z352)</f>
        <v>0</v>
      </c>
      <c r="AA352" s="133">
        <f>+SUM('12:25'!AA352)</f>
        <v>0</v>
      </c>
      <c r="AB352" s="133">
        <f>+SUM('12:25'!AB352)</f>
        <v>0</v>
      </c>
      <c r="AC352" s="133">
        <f>+SUM('12:25'!AC352)</f>
        <v>0</v>
      </c>
      <c r="AD352" s="1">
        <f t="shared" si="56"/>
        <v>0</v>
      </c>
      <c r="AE352" s="52">
        <v>134.26</v>
      </c>
      <c r="AF352" s="1">
        <f t="shared" si="57"/>
        <v>0</v>
      </c>
    </row>
    <row r="353" spans="1:32" s="2" customFormat="1" ht="21.95" customHeight="1">
      <c r="A353" s="140">
        <v>300337</v>
      </c>
      <c r="B353" s="135" t="s">
        <v>118</v>
      </c>
      <c r="C353" s="226" t="s">
        <v>143</v>
      </c>
      <c r="D353" s="226"/>
      <c r="E353" s="139" t="s">
        <v>49</v>
      </c>
      <c r="F353" s="141"/>
      <c r="G353" s="133">
        <f>+SUM('12:25'!G353)</f>
        <v>0</v>
      </c>
      <c r="H353" s="133">
        <f>+SUM('12:25'!H353)</f>
        <v>0</v>
      </c>
      <c r="I353" s="133">
        <f>+SUM('12:25'!I353)</f>
        <v>0</v>
      </c>
      <c r="J353" s="133">
        <f>+SUM('12:25'!J353)</f>
        <v>0</v>
      </c>
      <c r="K353" s="137">
        <f t="shared" si="48"/>
        <v>0</v>
      </c>
      <c r="L353" s="137">
        <f t="shared" si="49"/>
        <v>0</v>
      </c>
      <c r="M353" s="137">
        <v>411.4</v>
      </c>
      <c r="N353" s="137">
        <f>+M353*1000/(104.2*4*16*60)*T353</f>
        <v>2.0563419705694179</v>
      </c>
      <c r="O353" s="133">
        <f>+SUM('12:25'!O353)</f>
        <v>0</v>
      </c>
      <c r="P353" s="137">
        <f t="shared" si="50"/>
        <v>0</v>
      </c>
      <c r="Q353" s="133">
        <f>+SUM('12:25'!Q353)</f>
        <v>0</v>
      </c>
      <c r="R353" s="19">
        <f t="shared" si="51"/>
        <v>0</v>
      </c>
      <c r="S353" s="137">
        <f t="shared" si="52"/>
        <v>0</v>
      </c>
      <c r="T353" s="20">
        <v>2</v>
      </c>
      <c r="U353" s="133">
        <f>+SUM('12:25'!U353)</f>
        <v>0</v>
      </c>
      <c r="V353" s="143"/>
      <c r="W353" s="133">
        <f>+SUM('12:25'!W353)</f>
        <v>0</v>
      </c>
      <c r="X353" s="133">
        <f>+SUM('12:25'!X353)</f>
        <v>0</v>
      </c>
      <c r="Y353" s="133">
        <f>+SUM('12:25'!Y353)</f>
        <v>0</v>
      </c>
      <c r="Z353" s="133">
        <f>+SUM('12:25'!Z353)</f>
        <v>0</v>
      </c>
      <c r="AA353" s="133">
        <f>+SUM('12:25'!AA353)</f>
        <v>0</v>
      </c>
      <c r="AB353" s="133">
        <f>+SUM('12:25'!AB353)</f>
        <v>0</v>
      </c>
      <c r="AC353" s="133">
        <f>+SUM('12:25'!AC353)</f>
        <v>0</v>
      </c>
      <c r="AD353" s="1">
        <f t="shared" si="56"/>
        <v>0</v>
      </c>
      <c r="AE353" s="52">
        <v>134.26</v>
      </c>
      <c r="AF353" s="1">
        <f t="shared" si="57"/>
        <v>0</v>
      </c>
    </row>
    <row r="354" spans="1:32" s="2" customFormat="1" ht="21.95" customHeight="1">
      <c r="A354" s="140">
        <v>300338</v>
      </c>
      <c r="B354" s="135" t="s">
        <v>118</v>
      </c>
      <c r="C354" s="226" t="s">
        <v>143</v>
      </c>
      <c r="D354" s="226"/>
      <c r="E354" s="139" t="s">
        <v>85</v>
      </c>
      <c r="F354" s="141"/>
      <c r="G354" s="133">
        <f>+SUM('12:25'!G354)</f>
        <v>0</v>
      </c>
      <c r="H354" s="133">
        <f>+SUM('12:25'!H354)</f>
        <v>0</v>
      </c>
      <c r="I354" s="133">
        <f>+SUM('12:25'!I354)</f>
        <v>0</v>
      </c>
      <c r="J354" s="133">
        <f>+SUM('12:25'!J354)</f>
        <v>0</v>
      </c>
      <c r="K354" s="137">
        <f t="shared" si="48"/>
        <v>0</v>
      </c>
      <c r="L354" s="137">
        <f t="shared" si="49"/>
        <v>0</v>
      </c>
      <c r="M354" s="137">
        <v>411.4</v>
      </c>
      <c r="N354" s="137">
        <f>+M354*1000/(104.2*4*16*60)*T354</f>
        <v>2.0563419705694179</v>
      </c>
      <c r="O354" s="133">
        <f>+SUM('12:25'!O354)</f>
        <v>0</v>
      </c>
      <c r="P354" s="137">
        <f t="shared" si="50"/>
        <v>0</v>
      </c>
      <c r="Q354" s="133">
        <f>+SUM('12:25'!Q354)</f>
        <v>0</v>
      </c>
      <c r="R354" s="19">
        <f t="shared" si="51"/>
        <v>0</v>
      </c>
      <c r="S354" s="137">
        <f t="shared" si="52"/>
        <v>0</v>
      </c>
      <c r="T354" s="20">
        <v>2</v>
      </c>
      <c r="U354" s="133">
        <f>+SUM('12:25'!U354)</f>
        <v>0</v>
      </c>
      <c r="V354" s="143"/>
      <c r="W354" s="133">
        <f>+SUM('12:25'!W354)</f>
        <v>0</v>
      </c>
      <c r="X354" s="133">
        <f>+SUM('12:25'!X354)</f>
        <v>0</v>
      </c>
      <c r="Y354" s="133">
        <f>+SUM('12:25'!Y354)</f>
        <v>0</v>
      </c>
      <c r="Z354" s="133">
        <f>+SUM('12:25'!Z354)</f>
        <v>0</v>
      </c>
      <c r="AA354" s="133">
        <f>+SUM('12:25'!AA354)</f>
        <v>0</v>
      </c>
      <c r="AB354" s="133">
        <f>+SUM('12:25'!AB354)</f>
        <v>0</v>
      </c>
      <c r="AC354" s="133">
        <f>+SUM('12:25'!AC354)</f>
        <v>0</v>
      </c>
      <c r="AD354" s="1">
        <f t="shared" si="56"/>
        <v>0</v>
      </c>
      <c r="AE354" s="52">
        <v>134.26</v>
      </c>
      <c r="AF354" s="1">
        <f t="shared" si="57"/>
        <v>0</v>
      </c>
    </row>
    <row r="355" spans="1:32" s="2" customFormat="1" ht="21.95" customHeight="1">
      <c r="A355" s="140">
        <v>300309</v>
      </c>
      <c r="B355" s="135">
        <v>6504</v>
      </c>
      <c r="C355" s="226" t="s">
        <v>145</v>
      </c>
      <c r="D355" s="226"/>
      <c r="E355" s="139" t="s">
        <v>47</v>
      </c>
      <c r="F355" s="141"/>
      <c r="G355" s="133">
        <f>+SUM('12:25'!G355)</f>
        <v>0</v>
      </c>
      <c r="H355" s="133">
        <f>+SUM('12:25'!H355)</f>
        <v>0</v>
      </c>
      <c r="I355" s="133">
        <f>+SUM('12:25'!I355)</f>
        <v>0</v>
      </c>
      <c r="J355" s="133">
        <f>+SUM('12:25'!J355)</f>
        <v>0</v>
      </c>
      <c r="K355" s="137">
        <f t="shared" si="48"/>
        <v>0</v>
      </c>
      <c r="L355" s="137">
        <f t="shared" si="49"/>
        <v>0</v>
      </c>
      <c r="M355" s="137">
        <v>316.88</v>
      </c>
      <c r="N355" s="137">
        <f>+M355*1000/(75.2*4*16*60)*T355</f>
        <v>6.5841090425531918</v>
      </c>
      <c r="O355" s="133">
        <f>+SUM('12:25'!O355)</f>
        <v>0</v>
      </c>
      <c r="P355" s="137">
        <f t="shared" si="50"/>
        <v>0</v>
      </c>
      <c r="Q355" s="133">
        <f>+SUM('12:25'!Q355)</f>
        <v>0</v>
      </c>
      <c r="R355" s="19">
        <f t="shared" si="51"/>
        <v>0</v>
      </c>
      <c r="S355" s="137">
        <f t="shared" si="52"/>
        <v>0</v>
      </c>
      <c r="T355" s="20">
        <v>6</v>
      </c>
      <c r="U355" s="133">
        <f>+SUM('12:25'!U355)</f>
        <v>0</v>
      </c>
      <c r="V355" s="143" t="str">
        <f t="array" ref="V355">IF(ISERROR(L355/K355),"",L355/K355)</f>
        <v/>
      </c>
      <c r="W355" s="133">
        <f>+SUM('12:25'!W355)</f>
        <v>0</v>
      </c>
      <c r="X355" s="133">
        <f>+SUM('12:25'!X355)</f>
        <v>0</v>
      </c>
      <c r="Y355" s="133">
        <f>+SUM('12:25'!Y355)</f>
        <v>0</v>
      </c>
      <c r="Z355" s="133">
        <f>+SUM('12:25'!Z355)</f>
        <v>0</v>
      </c>
      <c r="AA355" s="133">
        <f>+SUM('12:25'!AA355)</f>
        <v>0</v>
      </c>
      <c r="AB355" s="133">
        <f>+SUM('12:25'!AB355)</f>
        <v>0</v>
      </c>
      <c r="AC355" s="133">
        <f>+SUM('12:25'!AC355)</f>
        <v>0</v>
      </c>
      <c r="AD355" s="1">
        <f t="shared" si="56"/>
        <v>0</v>
      </c>
      <c r="AE355" s="52">
        <v>232.55</v>
      </c>
      <c r="AF355" s="1">
        <f t="shared" si="57"/>
        <v>0</v>
      </c>
    </row>
    <row r="356" spans="1:32" s="2" customFormat="1" ht="21.95" customHeight="1">
      <c r="A356" s="140">
        <v>300310</v>
      </c>
      <c r="B356" s="135">
        <v>6504</v>
      </c>
      <c r="C356" s="226" t="s">
        <v>145</v>
      </c>
      <c r="D356" s="226"/>
      <c r="E356" s="139" t="s">
        <v>146</v>
      </c>
      <c r="F356" s="141"/>
      <c r="G356" s="133">
        <f>+SUM('12:25'!G356)</f>
        <v>0</v>
      </c>
      <c r="H356" s="133">
        <f>+SUM('12:25'!H356)</f>
        <v>0</v>
      </c>
      <c r="I356" s="133">
        <f>+SUM('12:25'!I356)</f>
        <v>0</v>
      </c>
      <c r="J356" s="133">
        <f>+SUM('12:25'!J356)</f>
        <v>0</v>
      </c>
      <c r="K356" s="137">
        <f t="shared" si="48"/>
        <v>0</v>
      </c>
      <c r="L356" s="137">
        <f t="shared" si="49"/>
        <v>0</v>
      </c>
      <c r="M356" s="137">
        <v>316.88</v>
      </c>
      <c r="N356" s="137">
        <f>+M356*1000/(75.2*4*16*60)*T356</f>
        <v>6.5841090425531918</v>
      </c>
      <c r="O356" s="133">
        <f>+SUM('12:25'!O356)</f>
        <v>0</v>
      </c>
      <c r="P356" s="137">
        <f t="shared" si="50"/>
        <v>0</v>
      </c>
      <c r="Q356" s="133">
        <f>+SUM('12:25'!Q356)</f>
        <v>0</v>
      </c>
      <c r="R356" s="19">
        <f t="shared" si="51"/>
        <v>0</v>
      </c>
      <c r="S356" s="137">
        <f t="shared" si="52"/>
        <v>0</v>
      </c>
      <c r="T356" s="20">
        <v>6</v>
      </c>
      <c r="U356" s="133">
        <f>+SUM('12:25'!U356)</f>
        <v>0</v>
      </c>
      <c r="V356" s="143" t="str">
        <f t="array" ref="V356">IF(ISERROR(L356/K356),"",L356/K356)</f>
        <v/>
      </c>
      <c r="W356" s="133">
        <f>+SUM('12:25'!W356)</f>
        <v>0</v>
      </c>
      <c r="X356" s="133">
        <f>+SUM('12:25'!X356)</f>
        <v>0</v>
      </c>
      <c r="Y356" s="133">
        <f>+SUM('12:25'!Y356)</f>
        <v>0</v>
      </c>
      <c r="Z356" s="133">
        <f>+SUM('12:25'!Z356)</f>
        <v>0</v>
      </c>
      <c r="AA356" s="133">
        <f>+SUM('12:25'!AA356)</f>
        <v>0</v>
      </c>
      <c r="AB356" s="133">
        <f>+SUM('12:25'!AB356)</f>
        <v>0</v>
      </c>
      <c r="AC356" s="133">
        <f>+SUM('12:25'!AC356)</f>
        <v>0</v>
      </c>
      <c r="AD356" s="1">
        <f t="shared" si="56"/>
        <v>0</v>
      </c>
      <c r="AE356" s="52">
        <v>232.55</v>
      </c>
      <c r="AF356" s="1">
        <f t="shared" si="57"/>
        <v>0</v>
      </c>
    </row>
    <row r="357" spans="1:32" s="2" customFormat="1" ht="21.95" customHeight="1">
      <c r="A357" s="140">
        <v>300312</v>
      </c>
      <c r="B357" s="135">
        <v>6504</v>
      </c>
      <c r="C357" s="226" t="s">
        <v>145</v>
      </c>
      <c r="D357" s="226"/>
      <c r="E357" s="139" t="s">
        <v>147</v>
      </c>
      <c r="F357" s="141"/>
      <c r="G357" s="133">
        <f>+SUM('12:25'!G357)</f>
        <v>0</v>
      </c>
      <c r="H357" s="133">
        <f>+SUM('12:25'!H357)</f>
        <v>0</v>
      </c>
      <c r="I357" s="133">
        <f>+SUM('12:25'!I357)</f>
        <v>0</v>
      </c>
      <c r="J357" s="133">
        <f>+SUM('12:25'!J357)</f>
        <v>0</v>
      </c>
      <c r="K357" s="137">
        <f t="shared" si="48"/>
        <v>0</v>
      </c>
      <c r="L357" s="137">
        <f t="shared" si="49"/>
        <v>0</v>
      </c>
      <c r="M357" s="137">
        <v>316.88</v>
      </c>
      <c r="N357" s="137">
        <f>+M357*1000/(75.2*4*16*60)*T357</f>
        <v>6.5841090425531918</v>
      </c>
      <c r="O357" s="133">
        <f>+SUM('12:25'!O357)</f>
        <v>0</v>
      </c>
      <c r="P357" s="137">
        <f t="shared" si="50"/>
        <v>0</v>
      </c>
      <c r="Q357" s="133">
        <f>+SUM('12:25'!Q357)</f>
        <v>0</v>
      </c>
      <c r="R357" s="19">
        <f t="shared" si="51"/>
        <v>0</v>
      </c>
      <c r="S357" s="137">
        <f t="shared" si="52"/>
        <v>0</v>
      </c>
      <c r="T357" s="20">
        <v>6</v>
      </c>
      <c r="U357" s="133">
        <f>+SUM('12:25'!U357)</f>
        <v>0</v>
      </c>
      <c r="V357" s="143" t="str">
        <f t="array" ref="V357">IF(ISERROR(L357/K357),"",L357/K357)</f>
        <v/>
      </c>
      <c r="W357" s="133">
        <f>+SUM('12:25'!W357)</f>
        <v>0</v>
      </c>
      <c r="X357" s="133">
        <f>+SUM('12:25'!X357)</f>
        <v>0</v>
      </c>
      <c r="Y357" s="133">
        <f>+SUM('12:25'!Y357)</f>
        <v>0</v>
      </c>
      <c r="Z357" s="133">
        <f>+SUM('12:25'!Z357)</f>
        <v>0</v>
      </c>
      <c r="AA357" s="133">
        <f>+SUM('12:25'!AA357)</f>
        <v>0</v>
      </c>
      <c r="AB357" s="133">
        <f>+SUM('12:25'!AB357)</f>
        <v>0</v>
      </c>
      <c r="AC357" s="133">
        <f>+SUM('12:25'!AC357)</f>
        <v>0</v>
      </c>
      <c r="AD357" s="1">
        <f t="shared" si="56"/>
        <v>0</v>
      </c>
      <c r="AE357" s="52">
        <v>232.55</v>
      </c>
      <c r="AF357" s="1">
        <f t="shared" si="57"/>
        <v>0</v>
      </c>
    </row>
    <row r="358" spans="1:32" s="2" customFormat="1" ht="21.95" customHeight="1">
      <c r="A358" s="140">
        <v>300311</v>
      </c>
      <c r="B358" s="135">
        <v>6504</v>
      </c>
      <c r="C358" s="226" t="s">
        <v>145</v>
      </c>
      <c r="D358" s="226"/>
      <c r="E358" s="139" t="s">
        <v>74</v>
      </c>
      <c r="F358" s="141"/>
      <c r="G358" s="133">
        <f>+SUM('12:25'!G358)</f>
        <v>0</v>
      </c>
      <c r="H358" s="133">
        <f>+SUM('12:25'!H358)</f>
        <v>0</v>
      </c>
      <c r="I358" s="133">
        <f>+SUM('12:25'!I358)</f>
        <v>0</v>
      </c>
      <c r="J358" s="133">
        <f>+SUM('12:25'!J358)</f>
        <v>0</v>
      </c>
      <c r="K358" s="137">
        <f t="shared" si="48"/>
        <v>0</v>
      </c>
      <c r="L358" s="137">
        <f t="shared" si="49"/>
        <v>0</v>
      </c>
      <c r="M358" s="137">
        <v>316.88</v>
      </c>
      <c r="N358" s="137">
        <f>+M358*1000/(75.2*4*16*60)*T358</f>
        <v>6.5841090425531918</v>
      </c>
      <c r="O358" s="133">
        <f>+SUM('12:25'!O358)</f>
        <v>0</v>
      </c>
      <c r="P358" s="137">
        <f t="shared" si="50"/>
        <v>0</v>
      </c>
      <c r="Q358" s="133">
        <f>+SUM('12:25'!Q358)</f>
        <v>0</v>
      </c>
      <c r="R358" s="19">
        <f t="shared" si="51"/>
        <v>0</v>
      </c>
      <c r="S358" s="137">
        <f t="shared" si="52"/>
        <v>0</v>
      </c>
      <c r="T358" s="20">
        <v>6</v>
      </c>
      <c r="U358" s="133">
        <f>+SUM('12:25'!U358)</f>
        <v>0</v>
      </c>
      <c r="V358" s="143" t="str">
        <f t="array" ref="V358">IF(ISERROR(L358/K358),"",L358/K358)</f>
        <v/>
      </c>
      <c r="W358" s="133">
        <f>+SUM('12:25'!W358)</f>
        <v>0</v>
      </c>
      <c r="X358" s="133">
        <f>+SUM('12:25'!X358)</f>
        <v>0</v>
      </c>
      <c r="Y358" s="133">
        <f>+SUM('12:25'!Y358)</f>
        <v>0</v>
      </c>
      <c r="Z358" s="133">
        <f>+SUM('12:25'!Z358)</f>
        <v>0</v>
      </c>
      <c r="AA358" s="133">
        <f>+SUM('12:25'!AA358)</f>
        <v>0</v>
      </c>
      <c r="AB358" s="133">
        <f>+SUM('12:25'!AB358)</f>
        <v>0</v>
      </c>
      <c r="AC358" s="133">
        <f>+SUM('12:25'!AC358)</f>
        <v>0</v>
      </c>
      <c r="AD358" s="1">
        <f t="shared" si="56"/>
        <v>0</v>
      </c>
      <c r="AE358" s="52">
        <v>232.55</v>
      </c>
      <c r="AF358" s="1">
        <f t="shared" si="57"/>
        <v>0</v>
      </c>
    </row>
    <row r="359" spans="1:32" s="2" customFormat="1" ht="21.95" customHeight="1">
      <c r="A359" s="140">
        <v>300399</v>
      </c>
      <c r="B359" s="135">
        <v>18501</v>
      </c>
      <c r="C359" s="237" t="s">
        <v>148</v>
      </c>
      <c r="D359" s="238"/>
      <c r="E359" s="139" t="s">
        <v>41</v>
      </c>
      <c r="F359" s="141"/>
      <c r="G359" s="133">
        <f>+SUM('12:25'!G359)</f>
        <v>0</v>
      </c>
      <c r="H359" s="133">
        <f>+SUM('12:25'!H359)</f>
        <v>0</v>
      </c>
      <c r="I359" s="133">
        <f>+SUM('12:25'!I359)</f>
        <v>0</v>
      </c>
      <c r="J359" s="133">
        <f>+SUM('12:25'!J359)</f>
        <v>0</v>
      </c>
      <c r="K359" s="137">
        <f t="shared" si="48"/>
        <v>0</v>
      </c>
      <c r="L359" s="137">
        <f t="shared" si="49"/>
        <v>0</v>
      </c>
      <c r="M359" s="137">
        <v>311.2</v>
      </c>
      <c r="N359" s="137">
        <f>+M359*1000/(100*4*16*60)*T359</f>
        <v>4.8624999999999998</v>
      </c>
      <c r="O359" s="133">
        <f>+SUM('12:25'!O359)</f>
        <v>0</v>
      </c>
      <c r="P359" s="137">
        <f t="shared" si="50"/>
        <v>0</v>
      </c>
      <c r="Q359" s="133">
        <f>+SUM('12:25'!Q359)</f>
        <v>0</v>
      </c>
      <c r="R359" s="19">
        <f t="shared" si="51"/>
        <v>0</v>
      </c>
      <c r="S359" s="137">
        <f t="shared" si="52"/>
        <v>0</v>
      </c>
      <c r="T359" s="20">
        <v>6</v>
      </c>
      <c r="U359" s="133">
        <f>+SUM('12:25'!U359)</f>
        <v>0</v>
      </c>
      <c r="V359" s="143"/>
      <c r="W359" s="133">
        <f>+SUM('12:25'!W359)</f>
        <v>0</v>
      </c>
      <c r="X359" s="133">
        <f>+SUM('12:25'!X359)</f>
        <v>0</v>
      </c>
      <c r="Y359" s="133">
        <f>+SUM('12:25'!Y359)</f>
        <v>0</v>
      </c>
      <c r="Z359" s="133">
        <f>+SUM('12:25'!Z359)</f>
        <v>0</v>
      </c>
      <c r="AA359" s="133">
        <f>+SUM('12:25'!AA359)</f>
        <v>0</v>
      </c>
      <c r="AB359" s="133">
        <f>+SUM('12:25'!AB359)</f>
        <v>0</v>
      </c>
      <c r="AC359" s="133">
        <f>+SUM('12:25'!AC359)</f>
        <v>0</v>
      </c>
      <c r="AD359" s="1">
        <f t="shared" si="56"/>
        <v>0</v>
      </c>
      <c r="AE359" s="52">
        <v>323.06</v>
      </c>
      <c r="AF359" s="1">
        <f t="shared" si="57"/>
        <v>0</v>
      </c>
    </row>
    <row r="360" spans="1:32" s="2" customFormat="1" ht="21.95" customHeight="1">
      <c r="A360" s="140">
        <v>300400</v>
      </c>
      <c r="B360" s="135">
        <v>18501</v>
      </c>
      <c r="C360" s="237" t="s">
        <v>148</v>
      </c>
      <c r="D360" s="238"/>
      <c r="E360" s="139" t="s">
        <v>66</v>
      </c>
      <c r="F360" s="141"/>
      <c r="G360" s="133">
        <f>+SUM('12:25'!G360)</f>
        <v>0</v>
      </c>
      <c r="H360" s="133">
        <f>+SUM('12:25'!H360)</f>
        <v>0</v>
      </c>
      <c r="I360" s="133">
        <f>+SUM('12:25'!I360)</f>
        <v>0</v>
      </c>
      <c r="J360" s="133">
        <f>+SUM('12:25'!J360)</f>
        <v>0</v>
      </c>
      <c r="K360" s="137">
        <f t="shared" si="48"/>
        <v>0</v>
      </c>
      <c r="L360" s="137">
        <f t="shared" si="49"/>
        <v>0</v>
      </c>
      <c r="M360" s="137">
        <v>311.2</v>
      </c>
      <c r="N360" s="137">
        <f>+M360*1000/(100*4*16*60)*T360</f>
        <v>4.8624999999999998</v>
      </c>
      <c r="O360" s="133">
        <f>+SUM('12:25'!O360)</f>
        <v>0</v>
      </c>
      <c r="P360" s="137">
        <f t="shared" si="50"/>
        <v>0</v>
      </c>
      <c r="Q360" s="133">
        <f>+SUM('12:25'!Q360)</f>
        <v>0</v>
      </c>
      <c r="R360" s="19">
        <f t="shared" si="51"/>
        <v>0</v>
      </c>
      <c r="S360" s="137">
        <f t="shared" si="52"/>
        <v>0</v>
      </c>
      <c r="T360" s="20">
        <v>6</v>
      </c>
      <c r="U360" s="133">
        <f>+SUM('12:25'!U360)</f>
        <v>0</v>
      </c>
      <c r="V360" s="143"/>
      <c r="W360" s="133">
        <f>+SUM('12:25'!W360)</f>
        <v>0</v>
      </c>
      <c r="X360" s="133">
        <f>+SUM('12:25'!X360)</f>
        <v>0</v>
      </c>
      <c r="Y360" s="133">
        <f>+SUM('12:25'!Y360)</f>
        <v>0</v>
      </c>
      <c r="Z360" s="133">
        <f>+SUM('12:25'!Z360)</f>
        <v>0</v>
      </c>
      <c r="AA360" s="133">
        <f>+SUM('12:25'!AA360)</f>
        <v>0</v>
      </c>
      <c r="AB360" s="133">
        <f>+SUM('12:25'!AB360)</f>
        <v>0</v>
      </c>
      <c r="AC360" s="133">
        <f>+SUM('12:25'!AC360)</f>
        <v>0</v>
      </c>
      <c r="AD360" s="1">
        <f t="shared" si="56"/>
        <v>0</v>
      </c>
      <c r="AE360" s="52">
        <v>323.06</v>
      </c>
      <c r="AF360" s="1">
        <f t="shared" si="57"/>
        <v>0</v>
      </c>
    </row>
    <row r="361" spans="1:32" s="2" customFormat="1" ht="21.95" customHeight="1">
      <c r="A361" s="140">
        <v>300401</v>
      </c>
      <c r="B361" s="135">
        <v>18501</v>
      </c>
      <c r="C361" s="237" t="s">
        <v>148</v>
      </c>
      <c r="D361" s="238"/>
      <c r="E361" s="139" t="s">
        <v>149</v>
      </c>
      <c r="F361" s="141"/>
      <c r="G361" s="133">
        <f>+SUM('12:25'!G361)</f>
        <v>0</v>
      </c>
      <c r="H361" s="133">
        <f>+SUM('12:25'!H361)</f>
        <v>0</v>
      </c>
      <c r="I361" s="133">
        <f>+SUM('12:25'!I361)</f>
        <v>0</v>
      </c>
      <c r="J361" s="133">
        <f>+SUM('12:25'!J361)</f>
        <v>0</v>
      </c>
      <c r="K361" s="137">
        <f t="shared" si="48"/>
        <v>0</v>
      </c>
      <c r="L361" s="137">
        <f t="shared" si="49"/>
        <v>0</v>
      </c>
      <c r="M361" s="137">
        <v>311.2</v>
      </c>
      <c r="N361" s="137">
        <f>+M361*1000/(100*4*16*60)*T361</f>
        <v>4.8624999999999998</v>
      </c>
      <c r="O361" s="133">
        <f>+SUM('12:25'!O361)</f>
        <v>0</v>
      </c>
      <c r="P361" s="137">
        <f t="shared" si="50"/>
        <v>0</v>
      </c>
      <c r="Q361" s="133">
        <f>+SUM('12:25'!Q361)</f>
        <v>0</v>
      </c>
      <c r="R361" s="19">
        <f t="shared" si="51"/>
        <v>0</v>
      </c>
      <c r="S361" s="137">
        <f t="shared" si="52"/>
        <v>0</v>
      </c>
      <c r="T361" s="20">
        <v>6</v>
      </c>
      <c r="U361" s="133">
        <f>+SUM('12:25'!U361)</f>
        <v>0</v>
      </c>
      <c r="V361" s="143"/>
      <c r="W361" s="133">
        <f>+SUM('12:25'!W361)</f>
        <v>0</v>
      </c>
      <c r="X361" s="133">
        <f>+SUM('12:25'!X361)</f>
        <v>0</v>
      </c>
      <c r="Y361" s="133">
        <f>+SUM('12:25'!Y361)</f>
        <v>0</v>
      </c>
      <c r="Z361" s="133">
        <f>+SUM('12:25'!Z361)</f>
        <v>0</v>
      </c>
      <c r="AA361" s="133">
        <f>+SUM('12:25'!AA361)</f>
        <v>0</v>
      </c>
      <c r="AB361" s="133">
        <f>+SUM('12:25'!AB361)</f>
        <v>0</v>
      </c>
      <c r="AC361" s="133">
        <f>+SUM('12:25'!AC361)</f>
        <v>0</v>
      </c>
      <c r="AD361" s="1">
        <f t="shared" si="56"/>
        <v>0</v>
      </c>
      <c r="AE361" s="52">
        <v>323.06</v>
      </c>
      <c r="AF361" s="1">
        <f t="shared" si="57"/>
        <v>0</v>
      </c>
    </row>
    <row r="362" spans="1:32" s="2" customFormat="1" ht="21.95" customHeight="1">
      <c r="A362" s="140">
        <v>300402</v>
      </c>
      <c r="B362" s="135">
        <v>18501</v>
      </c>
      <c r="C362" s="237" t="s">
        <v>150</v>
      </c>
      <c r="D362" s="238"/>
      <c r="E362" s="139" t="s">
        <v>151</v>
      </c>
      <c r="F362" s="141"/>
      <c r="G362" s="133">
        <f>+SUM('12:25'!G362)</f>
        <v>0</v>
      </c>
      <c r="H362" s="133">
        <f>+SUM('12:25'!H362)</f>
        <v>0</v>
      </c>
      <c r="I362" s="133">
        <f>+SUM('12:25'!I362)</f>
        <v>0</v>
      </c>
      <c r="J362" s="133">
        <f>+SUM('12:25'!J362)</f>
        <v>0</v>
      </c>
      <c r="K362" s="137">
        <f t="shared" si="48"/>
        <v>0</v>
      </c>
      <c r="L362" s="137">
        <f t="shared" si="49"/>
        <v>0</v>
      </c>
      <c r="M362" s="137">
        <v>465.3</v>
      </c>
      <c r="N362" s="137">
        <f>+M362*1000/(137*4*16*60)*T362</f>
        <v>5.3067974452554747</v>
      </c>
      <c r="O362" s="133">
        <f>+SUM('12:25'!O362)</f>
        <v>0</v>
      </c>
      <c r="P362" s="137">
        <f t="shared" si="50"/>
        <v>0</v>
      </c>
      <c r="Q362" s="133">
        <f>+SUM('12:25'!Q362)</f>
        <v>0</v>
      </c>
      <c r="R362" s="19">
        <f t="shared" si="51"/>
        <v>0</v>
      </c>
      <c r="S362" s="137">
        <f t="shared" si="52"/>
        <v>0</v>
      </c>
      <c r="T362" s="20">
        <v>6</v>
      </c>
      <c r="U362" s="133">
        <f>+SUM('12:25'!U362)</f>
        <v>0</v>
      </c>
      <c r="V362" s="143"/>
      <c r="W362" s="133">
        <f>+SUM('12:25'!W362)</f>
        <v>0</v>
      </c>
      <c r="X362" s="133">
        <f>+SUM('12:25'!X362)</f>
        <v>0</v>
      </c>
      <c r="Y362" s="133">
        <f>+SUM('12:25'!Y362)</f>
        <v>0</v>
      </c>
      <c r="Z362" s="133">
        <f>+SUM('12:25'!Z362)</f>
        <v>0</v>
      </c>
      <c r="AA362" s="133">
        <f>+SUM('12:25'!AA362)</f>
        <v>0</v>
      </c>
      <c r="AB362" s="133">
        <f>+SUM('12:25'!AB362)</f>
        <v>0</v>
      </c>
      <c r="AC362" s="133">
        <f>+SUM('12:25'!AC362)</f>
        <v>0</v>
      </c>
      <c r="AD362" s="1">
        <f t="shared" si="56"/>
        <v>0</v>
      </c>
      <c r="AE362" s="52">
        <v>205.52</v>
      </c>
      <c r="AF362" s="1">
        <f t="shared" si="57"/>
        <v>0</v>
      </c>
    </row>
    <row r="363" spans="1:32" s="2" customFormat="1" ht="21.95" customHeight="1">
      <c r="A363" s="140">
        <v>300403</v>
      </c>
      <c r="B363" s="135">
        <v>18501</v>
      </c>
      <c r="C363" s="237" t="s">
        <v>150</v>
      </c>
      <c r="D363" s="238"/>
      <c r="E363" s="139" t="s">
        <v>152</v>
      </c>
      <c r="F363" s="141"/>
      <c r="G363" s="133">
        <f>+SUM('12:25'!G363)</f>
        <v>0</v>
      </c>
      <c r="H363" s="133">
        <f>+SUM('12:25'!H363)</f>
        <v>0</v>
      </c>
      <c r="I363" s="133">
        <f>+SUM('12:25'!I363)</f>
        <v>0</v>
      </c>
      <c r="J363" s="133">
        <f>+SUM('12:25'!J363)</f>
        <v>0</v>
      </c>
      <c r="K363" s="137">
        <f t="shared" ref="K363:K399" si="58">G363*M363</f>
        <v>0</v>
      </c>
      <c r="L363" s="137">
        <f t="shared" ref="L363:L399" si="59">I363*M363</f>
        <v>0</v>
      </c>
      <c r="M363" s="137">
        <v>465.3</v>
      </c>
      <c r="N363" s="137">
        <f>+M363*1000/(137*4*16*60)*T363</f>
        <v>5.3067974452554747</v>
      </c>
      <c r="O363" s="133">
        <f>+SUM('12:25'!O363)</f>
        <v>0</v>
      </c>
      <c r="P363" s="137">
        <f t="shared" ref="P363:P399" si="60">N363*I363+O363*U363</f>
        <v>0</v>
      </c>
      <c r="Q363" s="133">
        <f>+SUM('12:25'!Q363)</f>
        <v>0</v>
      </c>
      <c r="R363" s="19">
        <f t="shared" ref="R363:R399" si="61">Q363*U363</f>
        <v>0</v>
      </c>
      <c r="S363" s="137">
        <f t="shared" ref="S363:S399" si="62">R363-P363</f>
        <v>0</v>
      </c>
      <c r="T363" s="20">
        <v>6</v>
      </c>
      <c r="U363" s="133">
        <f>+SUM('12:25'!U363)</f>
        <v>0</v>
      </c>
      <c r="V363" s="143"/>
      <c r="W363" s="133">
        <f>+SUM('12:25'!W363)</f>
        <v>0</v>
      </c>
      <c r="X363" s="133">
        <f>+SUM('12:25'!X363)</f>
        <v>0</v>
      </c>
      <c r="Y363" s="133">
        <f>+SUM('12:25'!Y363)</f>
        <v>0</v>
      </c>
      <c r="Z363" s="133">
        <f>+SUM('12:25'!Z363)</f>
        <v>0</v>
      </c>
      <c r="AA363" s="133">
        <f>+SUM('12:25'!AA363)</f>
        <v>0</v>
      </c>
      <c r="AB363" s="133">
        <f>+SUM('12:25'!AB363)</f>
        <v>0</v>
      </c>
      <c r="AC363" s="133">
        <f>+SUM('12:25'!AC363)</f>
        <v>0</v>
      </c>
      <c r="AD363" s="1">
        <f t="shared" si="56"/>
        <v>0</v>
      </c>
      <c r="AE363" s="52">
        <v>205.52</v>
      </c>
      <c r="AF363" s="1">
        <f t="shared" si="57"/>
        <v>0</v>
      </c>
    </row>
    <row r="364" spans="1:32" s="2" customFormat="1" ht="21.95" customHeight="1">
      <c r="A364" s="140">
        <v>300404</v>
      </c>
      <c r="B364" s="135">
        <v>18501</v>
      </c>
      <c r="C364" s="237" t="s">
        <v>150</v>
      </c>
      <c r="D364" s="238"/>
      <c r="E364" s="139" t="s">
        <v>70</v>
      </c>
      <c r="F364" s="141"/>
      <c r="G364" s="133">
        <f>+SUM('12:25'!G364)</f>
        <v>0</v>
      </c>
      <c r="H364" s="133">
        <f>+SUM('12:25'!H364)</f>
        <v>0</v>
      </c>
      <c r="I364" s="133">
        <f>+SUM('12:25'!I364)</f>
        <v>0</v>
      </c>
      <c r="J364" s="133">
        <f>+SUM('12:25'!J364)</f>
        <v>0</v>
      </c>
      <c r="K364" s="137">
        <f t="shared" si="58"/>
        <v>0</v>
      </c>
      <c r="L364" s="137">
        <f t="shared" si="59"/>
        <v>0</v>
      </c>
      <c r="M364" s="137">
        <v>465.3</v>
      </c>
      <c r="N364" s="137">
        <f>+M364*1000/(137*4*16*60)*T364</f>
        <v>5.3067974452554747</v>
      </c>
      <c r="O364" s="133">
        <f>+SUM('12:25'!O364)</f>
        <v>0</v>
      </c>
      <c r="P364" s="137">
        <f t="shared" si="60"/>
        <v>0</v>
      </c>
      <c r="Q364" s="133">
        <f>+SUM('12:25'!Q364)</f>
        <v>0</v>
      </c>
      <c r="R364" s="19">
        <f t="shared" si="61"/>
        <v>0</v>
      </c>
      <c r="S364" s="137">
        <f t="shared" si="62"/>
        <v>0</v>
      </c>
      <c r="T364" s="20">
        <v>6</v>
      </c>
      <c r="U364" s="133">
        <f>+SUM('12:25'!U364)</f>
        <v>0</v>
      </c>
      <c r="V364" s="143"/>
      <c r="W364" s="133">
        <f>+SUM('12:25'!W364)</f>
        <v>0</v>
      </c>
      <c r="X364" s="133">
        <f>+SUM('12:25'!X364)</f>
        <v>0</v>
      </c>
      <c r="Y364" s="133">
        <f>+SUM('12:25'!Y364)</f>
        <v>0</v>
      </c>
      <c r="Z364" s="133">
        <f>+SUM('12:25'!Z364)</f>
        <v>0</v>
      </c>
      <c r="AA364" s="133">
        <f>+SUM('12:25'!AA364)</f>
        <v>0</v>
      </c>
      <c r="AB364" s="133">
        <f>+SUM('12:25'!AB364)</f>
        <v>0</v>
      </c>
      <c r="AC364" s="133">
        <f>+SUM('12:25'!AC364)</f>
        <v>0</v>
      </c>
      <c r="AD364" s="1">
        <f t="shared" si="56"/>
        <v>0</v>
      </c>
      <c r="AE364" s="52">
        <v>205.52</v>
      </c>
      <c r="AF364" s="1">
        <f t="shared" si="57"/>
        <v>0</v>
      </c>
    </row>
    <row r="365" spans="1:32" s="2" customFormat="1" ht="21.95" customHeight="1">
      <c r="A365" s="140">
        <v>300405</v>
      </c>
      <c r="B365" s="135">
        <v>18501</v>
      </c>
      <c r="C365" s="237" t="s">
        <v>150</v>
      </c>
      <c r="D365" s="238"/>
      <c r="E365" s="139" t="s">
        <v>35</v>
      </c>
      <c r="F365" s="141"/>
      <c r="G365" s="133">
        <f>+SUM('12:25'!G365)</f>
        <v>0</v>
      </c>
      <c r="H365" s="133">
        <f>+SUM('12:25'!H365)</f>
        <v>0</v>
      </c>
      <c r="I365" s="133">
        <f>+SUM('12:25'!I365)</f>
        <v>0</v>
      </c>
      <c r="J365" s="133">
        <f>+SUM('12:25'!J365)</f>
        <v>0</v>
      </c>
      <c r="K365" s="137">
        <f t="shared" si="58"/>
        <v>0</v>
      </c>
      <c r="L365" s="137">
        <f t="shared" si="59"/>
        <v>0</v>
      </c>
      <c r="M365" s="137">
        <v>465.3</v>
      </c>
      <c r="N365" s="137">
        <f>+M365*1000/(137*4*16*60)*T365</f>
        <v>5.3067974452554747</v>
      </c>
      <c r="O365" s="133">
        <f>+SUM('12:25'!O365)</f>
        <v>0</v>
      </c>
      <c r="P365" s="137">
        <f t="shared" si="60"/>
        <v>0</v>
      </c>
      <c r="Q365" s="133">
        <f>+SUM('12:25'!Q365)</f>
        <v>0</v>
      </c>
      <c r="R365" s="19">
        <f t="shared" si="61"/>
        <v>0</v>
      </c>
      <c r="S365" s="137">
        <f t="shared" si="62"/>
        <v>0</v>
      </c>
      <c r="T365" s="20">
        <v>6</v>
      </c>
      <c r="U365" s="133">
        <f>+SUM('12:25'!U365)</f>
        <v>0</v>
      </c>
      <c r="V365" s="143"/>
      <c r="W365" s="133">
        <f>+SUM('12:25'!W365)</f>
        <v>0</v>
      </c>
      <c r="X365" s="133">
        <f>+SUM('12:25'!X365)</f>
        <v>0</v>
      </c>
      <c r="Y365" s="133">
        <f>+SUM('12:25'!Y365)</f>
        <v>0</v>
      </c>
      <c r="Z365" s="133">
        <f>+SUM('12:25'!Z365)</f>
        <v>0</v>
      </c>
      <c r="AA365" s="133">
        <f>+SUM('12:25'!AA365)</f>
        <v>0</v>
      </c>
      <c r="AB365" s="133">
        <f>+SUM('12:25'!AB365)</f>
        <v>0</v>
      </c>
      <c r="AC365" s="133">
        <f>+SUM('12:25'!AC365)</f>
        <v>0</v>
      </c>
      <c r="AD365" s="1">
        <f t="shared" si="56"/>
        <v>0</v>
      </c>
      <c r="AE365" s="52">
        <v>205.52</v>
      </c>
      <c r="AF365" s="1">
        <f t="shared" si="57"/>
        <v>0</v>
      </c>
    </row>
    <row r="366" spans="1:32" s="2" customFormat="1" ht="21.95" customHeight="1">
      <c r="A366" s="140">
        <v>300372</v>
      </c>
      <c r="B366" s="135">
        <v>18501</v>
      </c>
      <c r="C366" s="237" t="s">
        <v>153</v>
      </c>
      <c r="D366" s="238"/>
      <c r="E366" s="139" t="s">
        <v>47</v>
      </c>
      <c r="F366" s="141"/>
      <c r="G366" s="133">
        <f>+SUM('12:25'!G366)</f>
        <v>0</v>
      </c>
      <c r="H366" s="133">
        <f>+SUM('12:25'!H366)</f>
        <v>0</v>
      </c>
      <c r="I366" s="133">
        <f>+SUM('12:25'!I366)</f>
        <v>0</v>
      </c>
      <c r="J366" s="133">
        <f>+SUM('12:25'!J366)</f>
        <v>0</v>
      </c>
      <c r="K366" s="137">
        <f t="shared" si="58"/>
        <v>0</v>
      </c>
      <c r="L366" s="137">
        <f t="shared" si="59"/>
        <v>0</v>
      </c>
      <c r="M366" s="137">
        <v>420.58</v>
      </c>
      <c r="N366" s="137">
        <f>+M366*1000/(140*4*16*60)*T366</f>
        <v>4.6939732142857142</v>
      </c>
      <c r="O366" s="133">
        <f>+SUM('12:25'!O366)</f>
        <v>0</v>
      </c>
      <c r="P366" s="137">
        <f t="shared" si="60"/>
        <v>0</v>
      </c>
      <c r="Q366" s="133">
        <f>+SUM('12:25'!Q366)</f>
        <v>0</v>
      </c>
      <c r="R366" s="19">
        <f t="shared" si="61"/>
        <v>0</v>
      </c>
      <c r="S366" s="137">
        <f t="shared" si="62"/>
        <v>0</v>
      </c>
      <c r="T366" s="20">
        <v>6</v>
      </c>
      <c r="U366" s="133">
        <f>+SUM('12:25'!U366)</f>
        <v>0</v>
      </c>
      <c r="V366" s="143"/>
      <c r="W366" s="133">
        <f>+SUM('12:25'!W366)</f>
        <v>0</v>
      </c>
      <c r="X366" s="133">
        <f>+SUM('12:25'!X366)</f>
        <v>0</v>
      </c>
      <c r="Y366" s="133">
        <f>+SUM('12:25'!Y366)</f>
        <v>0</v>
      </c>
      <c r="Z366" s="133">
        <f>+SUM('12:25'!Z366)</f>
        <v>0</v>
      </c>
      <c r="AA366" s="133">
        <f>+SUM('12:25'!AA366)</f>
        <v>0</v>
      </c>
      <c r="AB366" s="133">
        <f>+SUM('12:25'!AB366)</f>
        <v>0</v>
      </c>
      <c r="AC366" s="133">
        <f>+SUM('12:25'!AC366)</f>
        <v>0</v>
      </c>
      <c r="AD366" s="1">
        <f t="shared" si="56"/>
        <v>0</v>
      </c>
      <c r="AE366" s="52"/>
      <c r="AF366" s="1">
        <f t="shared" si="57"/>
        <v>0</v>
      </c>
    </row>
    <row r="367" spans="1:32" s="2" customFormat="1" ht="21.95" customHeight="1">
      <c r="A367" s="140">
        <v>300373</v>
      </c>
      <c r="B367" s="135">
        <v>18501</v>
      </c>
      <c r="C367" s="237" t="s">
        <v>153</v>
      </c>
      <c r="D367" s="238"/>
      <c r="E367" s="139" t="s">
        <v>146</v>
      </c>
      <c r="F367" s="141"/>
      <c r="G367" s="133">
        <f>+SUM('12:25'!G367)</f>
        <v>0</v>
      </c>
      <c r="H367" s="133">
        <f>+SUM('12:25'!H367)</f>
        <v>0</v>
      </c>
      <c r="I367" s="133">
        <f>+SUM('12:25'!I367)</f>
        <v>0</v>
      </c>
      <c r="J367" s="133">
        <f>+SUM('12:25'!J367)</f>
        <v>0</v>
      </c>
      <c r="K367" s="137">
        <f t="shared" si="58"/>
        <v>0</v>
      </c>
      <c r="L367" s="137">
        <f t="shared" si="59"/>
        <v>0</v>
      </c>
      <c r="M367" s="137">
        <v>420.58</v>
      </c>
      <c r="N367" s="137">
        <f>+M367*1000/(140*4*16*60)*T367</f>
        <v>4.6939732142857142</v>
      </c>
      <c r="O367" s="133">
        <f>+SUM('12:25'!O367)</f>
        <v>0</v>
      </c>
      <c r="P367" s="137">
        <f t="shared" si="60"/>
        <v>0</v>
      </c>
      <c r="Q367" s="133">
        <f>+SUM('12:25'!Q367)</f>
        <v>0</v>
      </c>
      <c r="R367" s="19">
        <f t="shared" si="61"/>
        <v>0</v>
      </c>
      <c r="S367" s="137">
        <f t="shared" si="62"/>
        <v>0</v>
      </c>
      <c r="T367" s="20">
        <v>6</v>
      </c>
      <c r="U367" s="133">
        <f>+SUM('12:25'!U367)</f>
        <v>0</v>
      </c>
      <c r="V367" s="143"/>
      <c r="W367" s="133">
        <f>+SUM('12:25'!W367)</f>
        <v>0</v>
      </c>
      <c r="X367" s="133">
        <f>+SUM('12:25'!X367)</f>
        <v>0</v>
      </c>
      <c r="Y367" s="133">
        <f>+SUM('12:25'!Y367)</f>
        <v>0</v>
      </c>
      <c r="Z367" s="133">
        <f>+SUM('12:25'!Z367)</f>
        <v>0</v>
      </c>
      <c r="AA367" s="133">
        <f>+SUM('12:25'!AA367)</f>
        <v>0</v>
      </c>
      <c r="AB367" s="133">
        <f>+SUM('12:25'!AB367)</f>
        <v>0</v>
      </c>
      <c r="AC367" s="133">
        <f>+SUM('12:25'!AC367)</f>
        <v>0</v>
      </c>
      <c r="AD367" s="1">
        <f t="shared" si="56"/>
        <v>0</v>
      </c>
      <c r="AE367" s="52"/>
      <c r="AF367" s="1">
        <f t="shared" si="57"/>
        <v>0</v>
      </c>
    </row>
    <row r="368" spans="1:32" s="2" customFormat="1" ht="21.95" customHeight="1">
      <c r="A368" s="140">
        <v>300374</v>
      </c>
      <c r="B368" s="135">
        <v>18501</v>
      </c>
      <c r="C368" s="237" t="s">
        <v>153</v>
      </c>
      <c r="D368" s="238"/>
      <c r="E368" s="139" t="s">
        <v>147</v>
      </c>
      <c r="F368" s="141"/>
      <c r="G368" s="133">
        <f>+SUM('12:25'!G368)</f>
        <v>0</v>
      </c>
      <c r="H368" s="133">
        <f>+SUM('12:25'!H368)</f>
        <v>0</v>
      </c>
      <c r="I368" s="133">
        <f>+SUM('12:25'!I368)</f>
        <v>0</v>
      </c>
      <c r="J368" s="133">
        <f>+SUM('12:25'!J368)</f>
        <v>0</v>
      </c>
      <c r="K368" s="137">
        <f t="shared" si="58"/>
        <v>0</v>
      </c>
      <c r="L368" s="137">
        <f t="shared" si="59"/>
        <v>0</v>
      </c>
      <c r="M368" s="137">
        <v>420.58</v>
      </c>
      <c r="N368" s="137">
        <f>+M368*1000/(140*4*16*60)*T368</f>
        <v>4.6939732142857142</v>
      </c>
      <c r="O368" s="133">
        <f>+SUM('12:25'!O368)</f>
        <v>0</v>
      </c>
      <c r="P368" s="137">
        <f t="shared" si="60"/>
        <v>0</v>
      </c>
      <c r="Q368" s="133">
        <f>+SUM('12:25'!Q368)</f>
        <v>0</v>
      </c>
      <c r="R368" s="19">
        <f t="shared" si="61"/>
        <v>0</v>
      </c>
      <c r="S368" s="137">
        <f t="shared" si="62"/>
        <v>0</v>
      </c>
      <c r="T368" s="20">
        <v>6</v>
      </c>
      <c r="U368" s="133">
        <f>+SUM('12:25'!U368)</f>
        <v>0</v>
      </c>
      <c r="V368" s="143"/>
      <c r="W368" s="133">
        <f>+SUM('12:25'!W368)</f>
        <v>0</v>
      </c>
      <c r="X368" s="133">
        <f>+SUM('12:25'!X368)</f>
        <v>0</v>
      </c>
      <c r="Y368" s="133">
        <f>+SUM('12:25'!Y368)</f>
        <v>0</v>
      </c>
      <c r="Z368" s="133">
        <f>+SUM('12:25'!Z368)</f>
        <v>0</v>
      </c>
      <c r="AA368" s="133">
        <f>+SUM('12:25'!AA368)</f>
        <v>0</v>
      </c>
      <c r="AB368" s="133">
        <f>+SUM('12:25'!AB368)</f>
        <v>0</v>
      </c>
      <c r="AC368" s="133">
        <f>+SUM('12:25'!AC368)</f>
        <v>0</v>
      </c>
      <c r="AD368" s="1">
        <f t="shared" si="56"/>
        <v>0</v>
      </c>
      <c r="AE368" s="52"/>
      <c r="AF368" s="1">
        <f t="shared" si="57"/>
        <v>0</v>
      </c>
    </row>
    <row r="369" spans="1:32" s="2" customFormat="1" ht="21.95" customHeight="1">
      <c r="A369" s="140">
        <v>300375</v>
      </c>
      <c r="B369" s="135">
        <v>18501</v>
      </c>
      <c r="C369" s="237" t="s">
        <v>153</v>
      </c>
      <c r="D369" s="238"/>
      <c r="E369" s="139" t="s">
        <v>74</v>
      </c>
      <c r="F369" s="141"/>
      <c r="G369" s="133">
        <f>+SUM('12:25'!G369)</f>
        <v>0</v>
      </c>
      <c r="H369" s="133">
        <f>+SUM('12:25'!H369)</f>
        <v>0</v>
      </c>
      <c r="I369" s="133">
        <f>+SUM('12:25'!I369)</f>
        <v>0</v>
      </c>
      <c r="J369" s="133">
        <f>+SUM('12:25'!J369)</f>
        <v>0</v>
      </c>
      <c r="K369" s="137">
        <f t="shared" si="58"/>
        <v>0</v>
      </c>
      <c r="L369" s="137">
        <f t="shared" si="59"/>
        <v>0</v>
      </c>
      <c r="M369" s="137">
        <v>420.58</v>
      </c>
      <c r="N369" s="137">
        <f>+M369*1000/(140*4*16*60)*T369</f>
        <v>4.6939732142857142</v>
      </c>
      <c r="O369" s="133">
        <f>+SUM('12:25'!O369)</f>
        <v>0</v>
      </c>
      <c r="P369" s="137">
        <f t="shared" si="60"/>
        <v>0</v>
      </c>
      <c r="Q369" s="133">
        <f>+SUM('12:25'!Q369)</f>
        <v>0</v>
      </c>
      <c r="R369" s="19">
        <f t="shared" si="61"/>
        <v>0</v>
      </c>
      <c r="S369" s="137">
        <f t="shared" si="62"/>
        <v>0</v>
      </c>
      <c r="T369" s="20">
        <v>6</v>
      </c>
      <c r="U369" s="133">
        <f>+SUM('12:25'!U369)</f>
        <v>0</v>
      </c>
      <c r="V369" s="143"/>
      <c r="W369" s="133">
        <f>+SUM('12:25'!W369)</f>
        <v>0</v>
      </c>
      <c r="X369" s="133">
        <f>+SUM('12:25'!X369)</f>
        <v>0</v>
      </c>
      <c r="Y369" s="133">
        <f>+SUM('12:25'!Y369)</f>
        <v>0</v>
      </c>
      <c r="Z369" s="133">
        <f>+SUM('12:25'!Z369)</f>
        <v>0</v>
      </c>
      <c r="AA369" s="133">
        <f>+SUM('12:25'!AA369)</f>
        <v>0</v>
      </c>
      <c r="AB369" s="133">
        <f>+SUM('12:25'!AB369)</f>
        <v>0</v>
      </c>
      <c r="AC369" s="133">
        <f>+SUM('12:25'!AC369)</f>
        <v>0</v>
      </c>
      <c r="AD369" s="1">
        <f t="shared" si="56"/>
        <v>0</v>
      </c>
      <c r="AE369" s="52"/>
      <c r="AF369" s="1">
        <f t="shared" si="57"/>
        <v>0</v>
      </c>
    </row>
    <row r="370" spans="1:32" s="2" customFormat="1" ht="21.95" customHeight="1">
      <c r="A370" s="140">
        <v>300341</v>
      </c>
      <c r="B370" s="135">
        <v>18501</v>
      </c>
      <c r="C370" s="244" t="s">
        <v>154</v>
      </c>
      <c r="D370" s="245"/>
      <c r="E370" s="139" t="s">
        <v>39</v>
      </c>
      <c r="F370" s="141"/>
      <c r="G370" s="133">
        <f>+SUM('12:25'!G370)</f>
        <v>0</v>
      </c>
      <c r="H370" s="133">
        <f>+SUM('12:25'!H370)</f>
        <v>0</v>
      </c>
      <c r="I370" s="133">
        <f>+SUM('12:25'!I370)</f>
        <v>0</v>
      </c>
      <c r="J370" s="133">
        <f>+SUM('12:25'!J370)</f>
        <v>0</v>
      </c>
      <c r="K370" s="137">
        <f t="shared" si="58"/>
        <v>0</v>
      </c>
      <c r="L370" s="137">
        <f t="shared" si="59"/>
        <v>0</v>
      </c>
      <c r="M370" s="137">
        <v>439.3</v>
      </c>
      <c r="N370" s="137">
        <f>+M370*1000/(169.7*4*13*60)*T370</f>
        <v>4.1485351223123761</v>
      </c>
      <c r="O370" s="133">
        <f>+SUM('12:25'!O370)</f>
        <v>0</v>
      </c>
      <c r="P370" s="137">
        <f t="shared" si="60"/>
        <v>0</v>
      </c>
      <c r="Q370" s="133">
        <f>+SUM('12:25'!Q370)</f>
        <v>0</v>
      </c>
      <c r="R370" s="19">
        <f t="shared" si="61"/>
        <v>0</v>
      </c>
      <c r="S370" s="137">
        <f t="shared" si="62"/>
        <v>0</v>
      </c>
      <c r="T370" s="20">
        <v>5</v>
      </c>
      <c r="U370" s="133">
        <f>+SUM('12:25'!U370)</f>
        <v>0</v>
      </c>
      <c r="V370" s="143"/>
      <c r="W370" s="133">
        <f>+SUM('12:25'!W370)</f>
        <v>0</v>
      </c>
      <c r="X370" s="133">
        <f>+SUM('12:25'!X370)</f>
        <v>0</v>
      </c>
      <c r="Y370" s="133">
        <f>+SUM('12:25'!Y370)</f>
        <v>0</v>
      </c>
      <c r="Z370" s="133">
        <f>+SUM('12:25'!Z370)</f>
        <v>0</v>
      </c>
      <c r="AA370" s="133">
        <f>+SUM('12:25'!AA370)</f>
        <v>0</v>
      </c>
      <c r="AB370" s="133">
        <f>+SUM('12:25'!AB370)</f>
        <v>0</v>
      </c>
      <c r="AC370" s="133">
        <f>+SUM('12:25'!AC370)</f>
        <v>0</v>
      </c>
      <c r="AD370" s="1">
        <f t="shared" si="56"/>
        <v>0</v>
      </c>
      <c r="AE370" s="52">
        <v>165.91</v>
      </c>
      <c r="AF370" s="1">
        <f t="shared" si="57"/>
        <v>0</v>
      </c>
    </row>
    <row r="371" spans="1:32" s="2" customFormat="1" ht="21.95" customHeight="1">
      <c r="A371" s="140">
        <v>300342</v>
      </c>
      <c r="B371" s="135">
        <v>18501</v>
      </c>
      <c r="C371" s="244" t="s">
        <v>154</v>
      </c>
      <c r="D371" s="245"/>
      <c r="E371" s="139" t="s">
        <v>80</v>
      </c>
      <c r="F371" s="141"/>
      <c r="G371" s="133">
        <f>+SUM('12:25'!G371)</f>
        <v>0</v>
      </c>
      <c r="H371" s="133">
        <f>+SUM('12:25'!H371)</f>
        <v>0</v>
      </c>
      <c r="I371" s="133">
        <f>+SUM('12:25'!I371)</f>
        <v>0</v>
      </c>
      <c r="J371" s="133">
        <f>+SUM('12:25'!J371)</f>
        <v>0</v>
      </c>
      <c r="K371" s="137">
        <f t="shared" si="58"/>
        <v>0</v>
      </c>
      <c r="L371" s="137">
        <f t="shared" si="59"/>
        <v>0</v>
      </c>
      <c r="M371" s="137">
        <v>439.3</v>
      </c>
      <c r="N371" s="137">
        <f t="shared" ref="N371:N376" si="63">+M371*1000/(169.7*4*13*60)*T371</f>
        <v>4.1485351223123761</v>
      </c>
      <c r="O371" s="133">
        <f>+SUM('12:25'!O371)</f>
        <v>0</v>
      </c>
      <c r="P371" s="137">
        <f t="shared" si="60"/>
        <v>0</v>
      </c>
      <c r="Q371" s="133">
        <f>+SUM('12:25'!Q371)</f>
        <v>0</v>
      </c>
      <c r="R371" s="19">
        <f t="shared" si="61"/>
        <v>0</v>
      </c>
      <c r="S371" s="137">
        <f t="shared" si="62"/>
        <v>0</v>
      </c>
      <c r="T371" s="20">
        <v>5</v>
      </c>
      <c r="U371" s="133">
        <f>+SUM('12:25'!U371)</f>
        <v>0</v>
      </c>
      <c r="V371" s="143"/>
      <c r="W371" s="133">
        <f>+SUM('12:25'!W371)</f>
        <v>0</v>
      </c>
      <c r="X371" s="133">
        <f>+SUM('12:25'!X371)</f>
        <v>0</v>
      </c>
      <c r="Y371" s="133">
        <f>+SUM('12:25'!Y371)</f>
        <v>0</v>
      </c>
      <c r="Z371" s="133">
        <f>+SUM('12:25'!Z371)</f>
        <v>0</v>
      </c>
      <c r="AA371" s="133">
        <f>+SUM('12:25'!AA371)</f>
        <v>0</v>
      </c>
      <c r="AB371" s="133">
        <f>+SUM('12:25'!AB371)</f>
        <v>0</v>
      </c>
      <c r="AC371" s="133">
        <f>+SUM('12:25'!AC371)</f>
        <v>0</v>
      </c>
      <c r="AD371" s="1">
        <f t="shared" si="56"/>
        <v>0</v>
      </c>
      <c r="AE371" s="52">
        <v>165.91</v>
      </c>
      <c r="AF371" s="1">
        <f t="shared" si="57"/>
        <v>0</v>
      </c>
    </row>
    <row r="372" spans="1:32" s="2" customFormat="1" ht="21.95" customHeight="1">
      <c r="A372" s="140">
        <v>300343</v>
      </c>
      <c r="B372" s="135">
        <v>18501</v>
      </c>
      <c r="C372" s="244" t="s">
        <v>154</v>
      </c>
      <c r="D372" s="245"/>
      <c r="E372" s="139" t="s">
        <v>35</v>
      </c>
      <c r="F372" s="141"/>
      <c r="G372" s="133">
        <f>+SUM('12:25'!G372)</f>
        <v>0</v>
      </c>
      <c r="H372" s="133">
        <f>+SUM('12:25'!H372)</f>
        <v>0</v>
      </c>
      <c r="I372" s="133">
        <f>+SUM('12:25'!I372)</f>
        <v>0</v>
      </c>
      <c r="J372" s="133">
        <f>+SUM('12:25'!J372)</f>
        <v>0</v>
      </c>
      <c r="K372" s="137">
        <f t="shared" si="58"/>
        <v>0</v>
      </c>
      <c r="L372" s="137">
        <f t="shared" si="59"/>
        <v>0</v>
      </c>
      <c r="M372" s="137">
        <v>455.4</v>
      </c>
      <c r="N372" s="137">
        <f t="shared" si="63"/>
        <v>4.3005756765332483</v>
      </c>
      <c r="O372" s="133">
        <f>+SUM('12:25'!O372)</f>
        <v>0</v>
      </c>
      <c r="P372" s="137">
        <f t="shared" si="60"/>
        <v>0</v>
      </c>
      <c r="Q372" s="133">
        <f>+SUM('12:25'!Q372)</f>
        <v>0</v>
      </c>
      <c r="R372" s="19">
        <f t="shared" si="61"/>
        <v>0</v>
      </c>
      <c r="S372" s="137">
        <f t="shared" si="62"/>
        <v>0</v>
      </c>
      <c r="T372" s="20">
        <v>5</v>
      </c>
      <c r="U372" s="133">
        <f>+SUM('12:25'!U372)</f>
        <v>0</v>
      </c>
      <c r="V372" s="143"/>
      <c r="W372" s="133">
        <f>+SUM('12:25'!W372)</f>
        <v>0</v>
      </c>
      <c r="X372" s="133">
        <f>+SUM('12:25'!X372)</f>
        <v>0</v>
      </c>
      <c r="Y372" s="133">
        <f>+SUM('12:25'!Y372)</f>
        <v>0</v>
      </c>
      <c r="Z372" s="133">
        <f>+SUM('12:25'!Z372)</f>
        <v>0</v>
      </c>
      <c r="AA372" s="133">
        <f>+SUM('12:25'!AA372)</f>
        <v>0</v>
      </c>
      <c r="AB372" s="133">
        <f>+SUM('12:25'!AB372)</f>
        <v>0</v>
      </c>
      <c r="AC372" s="133">
        <f>+SUM('12:25'!AC372)</f>
        <v>0</v>
      </c>
      <c r="AD372" s="1">
        <f t="shared" si="56"/>
        <v>0</v>
      </c>
      <c r="AE372" s="52">
        <v>132.72999999999999</v>
      </c>
      <c r="AF372" s="1">
        <f t="shared" si="57"/>
        <v>0</v>
      </c>
    </row>
    <row r="373" spans="1:32" s="2" customFormat="1" ht="21.95" customHeight="1">
      <c r="A373" s="140">
        <v>300344</v>
      </c>
      <c r="B373" s="135">
        <v>18501</v>
      </c>
      <c r="C373" s="244" t="s">
        <v>154</v>
      </c>
      <c r="D373" s="245"/>
      <c r="E373" s="139" t="s">
        <v>40</v>
      </c>
      <c r="F373" s="141"/>
      <c r="G373" s="133">
        <f>+SUM('12:25'!G373)</f>
        <v>0</v>
      </c>
      <c r="H373" s="133">
        <f>+SUM('12:25'!H373)</f>
        <v>0</v>
      </c>
      <c r="I373" s="133">
        <f>+SUM('12:25'!I373)</f>
        <v>0</v>
      </c>
      <c r="J373" s="133">
        <f>+SUM('12:25'!J373)</f>
        <v>0</v>
      </c>
      <c r="K373" s="137">
        <f t="shared" si="58"/>
        <v>0</v>
      </c>
      <c r="L373" s="137">
        <f t="shared" si="59"/>
        <v>0</v>
      </c>
      <c r="M373" s="137">
        <v>455.4</v>
      </c>
      <c r="N373" s="137">
        <f t="shared" si="63"/>
        <v>4.3005756765332483</v>
      </c>
      <c r="O373" s="133">
        <f>+SUM('12:25'!O373)</f>
        <v>0</v>
      </c>
      <c r="P373" s="137">
        <f t="shared" si="60"/>
        <v>0</v>
      </c>
      <c r="Q373" s="133">
        <f>+SUM('12:25'!Q373)</f>
        <v>0</v>
      </c>
      <c r="R373" s="19">
        <f t="shared" si="61"/>
        <v>0</v>
      </c>
      <c r="S373" s="137">
        <f t="shared" si="62"/>
        <v>0</v>
      </c>
      <c r="T373" s="20">
        <v>5</v>
      </c>
      <c r="U373" s="133">
        <f>+SUM('12:25'!U373)</f>
        <v>0</v>
      </c>
      <c r="V373" s="143"/>
      <c r="W373" s="133">
        <f>+SUM('12:25'!W373)</f>
        <v>0</v>
      </c>
      <c r="X373" s="133">
        <f>+SUM('12:25'!X373)</f>
        <v>0</v>
      </c>
      <c r="Y373" s="133">
        <f>+SUM('12:25'!Y373)</f>
        <v>0</v>
      </c>
      <c r="Z373" s="133">
        <f>+SUM('12:25'!Z373)</f>
        <v>0</v>
      </c>
      <c r="AA373" s="133">
        <f>+SUM('12:25'!AA373)</f>
        <v>0</v>
      </c>
      <c r="AB373" s="133">
        <f>+SUM('12:25'!AB373)</f>
        <v>0</v>
      </c>
      <c r="AC373" s="133">
        <f>+SUM('12:25'!AC373)</f>
        <v>0</v>
      </c>
      <c r="AD373" s="1">
        <f t="shared" si="56"/>
        <v>0</v>
      </c>
      <c r="AE373" s="52">
        <v>132.72999999999999</v>
      </c>
      <c r="AF373" s="1">
        <f t="shared" si="57"/>
        <v>0</v>
      </c>
    </row>
    <row r="374" spans="1:32" s="2" customFormat="1" ht="21.95" customHeight="1">
      <c r="A374" s="140">
        <v>300396</v>
      </c>
      <c r="B374" s="135">
        <v>18501</v>
      </c>
      <c r="C374" s="244" t="s">
        <v>155</v>
      </c>
      <c r="D374" s="245"/>
      <c r="E374" s="139" t="s">
        <v>41</v>
      </c>
      <c r="F374" s="141"/>
      <c r="G374" s="133">
        <f>+SUM('12:25'!G374)</f>
        <v>0</v>
      </c>
      <c r="H374" s="133">
        <f>+SUM('12:25'!H374)</f>
        <v>0</v>
      </c>
      <c r="I374" s="133">
        <f>+SUM('12:25'!I374)</f>
        <v>0</v>
      </c>
      <c r="J374" s="133">
        <f>+SUM('12:25'!J374)</f>
        <v>0</v>
      </c>
      <c r="K374" s="137">
        <f t="shared" si="58"/>
        <v>0</v>
      </c>
      <c r="L374" s="137">
        <f t="shared" si="59"/>
        <v>0</v>
      </c>
      <c r="M374" s="137">
        <v>417.1</v>
      </c>
      <c r="N374" s="137">
        <f t="shared" si="63"/>
        <v>3.9388891407158937</v>
      </c>
      <c r="O374" s="133">
        <f>+SUM('12:25'!O374)</f>
        <v>0</v>
      </c>
      <c r="P374" s="137">
        <f t="shared" si="60"/>
        <v>0</v>
      </c>
      <c r="Q374" s="133">
        <f>+SUM('12:25'!Q374)</f>
        <v>0</v>
      </c>
      <c r="R374" s="19">
        <f t="shared" si="61"/>
        <v>0</v>
      </c>
      <c r="S374" s="137">
        <f t="shared" si="62"/>
        <v>0</v>
      </c>
      <c r="T374" s="20">
        <v>5</v>
      </c>
      <c r="U374" s="133">
        <f>+SUM('12:25'!U374)</f>
        <v>0</v>
      </c>
      <c r="V374" s="143"/>
      <c r="W374" s="133">
        <f>+SUM('12:25'!W374)</f>
        <v>0</v>
      </c>
      <c r="X374" s="133">
        <f>+SUM('12:25'!X374)</f>
        <v>0</v>
      </c>
      <c r="Y374" s="133">
        <f>+SUM('12:25'!Y374)</f>
        <v>0</v>
      </c>
      <c r="Z374" s="133">
        <f>+SUM('12:25'!Z374)</f>
        <v>0</v>
      </c>
      <c r="AA374" s="133">
        <f>+SUM('12:25'!AA374)</f>
        <v>0</v>
      </c>
      <c r="AB374" s="133">
        <f>+SUM('12:25'!AB374)</f>
        <v>0</v>
      </c>
      <c r="AC374" s="133">
        <f>+SUM('12:25'!AC374)</f>
        <v>0</v>
      </c>
      <c r="AD374" s="1">
        <f t="shared" si="56"/>
        <v>0</v>
      </c>
      <c r="AE374" s="52">
        <v>196.08</v>
      </c>
      <c r="AF374" s="1">
        <f t="shared" si="57"/>
        <v>0</v>
      </c>
    </row>
    <row r="375" spans="1:32" s="2" customFormat="1" ht="21.95" customHeight="1">
      <c r="A375" s="140">
        <v>300397</v>
      </c>
      <c r="B375" s="135">
        <v>18501</v>
      </c>
      <c r="C375" s="244" t="s">
        <v>155</v>
      </c>
      <c r="D375" s="245"/>
      <c r="E375" s="139" t="s">
        <v>66</v>
      </c>
      <c r="F375" s="141"/>
      <c r="G375" s="133">
        <f>+SUM('12:25'!G375)</f>
        <v>0</v>
      </c>
      <c r="H375" s="133">
        <f>+SUM('12:25'!H375)</f>
        <v>0</v>
      </c>
      <c r="I375" s="133">
        <f>+SUM('12:25'!I375)</f>
        <v>0</v>
      </c>
      <c r="J375" s="133">
        <f>+SUM('12:25'!J375)</f>
        <v>0</v>
      </c>
      <c r="K375" s="137">
        <f t="shared" si="58"/>
        <v>0</v>
      </c>
      <c r="L375" s="137">
        <f t="shared" si="59"/>
        <v>0</v>
      </c>
      <c r="M375" s="137">
        <v>417.1</v>
      </c>
      <c r="N375" s="137">
        <f t="shared" si="63"/>
        <v>3.9388891407158937</v>
      </c>
      <c r="O375" s="133">
        <f>+SUM('12:25'!O375)</f>
        <v>0</v>
      </c>
      <c r="P375" s="137">
        <f t="shared" si="60"/>
        <v>0</v>
      </c>
      <c r="Q375" s="133">
        <f>+SUM('12:25'!Q375)</f>
        <v>0</v>
      </c>
      <c r="R375" s="19">
        <f t="shared" si="61"/>
        <v>0</v>
      </c>
      <c r="S375" s="137">
        <f t="shared" si="62"/>
        <v>0</v>
      </c>
      <c r="T375" s="20">
        <v>5</v>
      </c>
      <c r="U375" s="133">
        <f>+SUM('12:25'!U375)</f>
        <v>0</v>
      </c>
      <c r="V375" s="143"/>
      <c r="W375" s="133">
        <f>+SUM('12:25'!W375)</f>
        <v>0</v>
      </c>
      <c r="X375" s="133">
        <f>+SUM('12:25'!X375)</f>
        <v>0</v>
      </c>
      <c r="Y375" s="133">
        <f>+SUM('12:25'!Y375)</f>
        <v>0</v>
      </c>
      <c r="Z375" s="133">
        <f>+SUM('12:25'!Z375)</f>
        <v>0</v>
      </c>
      <c r="AA375" s="133">
        <f>+SUM('12:25'!AA375)</f>
        <v>0</v>
      </c>
      <c r="AB375" s="133">
        <f>+SUM('12:25'!AB375)</f>
        <v>0</v>
      </c>
      <c r="AC375" s="133">
        <f>+SUM('12:25'!AC375)</f>
        <v>0</v>
      </c>
      <c r="AD375" s="1">
        <f t="shared" si="56"/>
        <v>0</v>
      </c>
      <c r="AE375" s="52">
        <v>196.08</v>
      </c>
      <c r="AF375" s="1">
        <f t="shared" si="57"/>
        <v>0</v>
      </c>
    </row>
    <row r="376" spans="1:32" s="2" customFormat="1" ht="21.95" customHeight="1">
      <c r="A376" s="140">
        <v>300398</v>
      </c>
      <c r="B376" s="135">
        <v>18501</v>
      </c>
      <c r="C376" s="244" t="s">
        <v>155</v>
      </c>
      <c r="D376" s="245"/>
      <c r="E376" s="139" t="s">
        <v>149</v>
      </c>
      <c r="F376" s="141"/>
      <c r="G376" s="133">
        <f>+SUM('12:25'!G376)</f>
        <v>0</v>
      </c>
      <c r="H376" s="133">
        <f>+SUM('12:25'!H376)</f>
        <v>0</v>
      </c>
      <c r="I376" s="133">
        <f>+SUM('12:25'!I376)</f>
        <v>0</v>
      </c>
      <c r="J376" s="133">
        <f>+SUM('12:25'!J376)</f>
        <v>0</v>
      </c>
      <c r="K376" s="137">
        <f t="shared" si="58"/>
        <v>0</v>
      </c>
      <c r="L376" s="137">
        <f t="shared" si="59"/>
        <v>0</v>
      </c>
      <c r="M376" s="137">
        <v>417.1</v>
      </c>
      <c r="N376" s="137">
        <f t="shared" si="63"/>
        <v>3.9388891407158937</v>
      </c>
      <c r="O376" s="133">
        <f>+SUM('12:25'!O376)</f>
        <v>0</v>
      </c>
      <c r="P376" s="137">
        <f t="shared" si="60"/>
        <v>0</v>
      </c>
      <c r="Q376" s="133">
        <f>+SUM('12:25'!Q376)</f>
        <v>0</v>
      </c>
      <c r="R376" s="19">
        <f t="shared" si="61"/>
        <v>0</v>
      </c>
      <c r="S376" s="137">
        <f t="shared" si="62"/>
        <v>0</v>
      </c>
      <c r="T376" s="20">
        <v>5</v>
      </c>
      <c r="U376" s="133">
        <f>+SUM('12:25'!U376)</f>
        <v>0</v>
      </c>
      <c r="V376" s="143"/>
      <c r="W376" s="133">
        <f>+SUM('12:25'!W376)</f>
        <v>0</v>
      </c>
      <c r="X376" s="133">
        <f>+SUM('12:25'!X376)</f>
        <v>0</v>
      </c>
      <c r="Y376" s="133">
        <f>+SUM('12:25'!Y376)</f>
        <v>0</v>
      </c>
      <c r="Z376" s="133">
        <f>+SUM('12:25'!Z376)</f>
        <v>0</v>
      </c>
      <c r="AA376" s="133">
        <f>+SUM('12:25'!AA376)</f>
        <v>0</v>
      </c>
      <c r="AB376" s="133">
        <f>+SUM('12:25'!AB376)</f>
        <v>0</v>
      </c>
      <c r="AC376" s="133">
        <f>+SUM('12:25'!AC376)</f>
        <v>0</v>
      </c>
      <c r="AD376" s="1">
        <f t="shared" si="56"/>
        <v>0</v>
      </c>
      <c r="AE376" s="52">
        <v>196.08</v>
      </c>
      <c r="AF376" s="1">
        <f t="shared" si="57"/>
        <v>0</v>
      </c>
    </row>
    <row r="377" spans="1:32" s="2" customFormat="1" ht="21.95" customHeight="1">
      <c r="A377" s="140">
        <v>300271</v>
      </c>
      <c r="B377" s="135">
        <v>18501</v>
      </c>
      <c r="C377" s="226" t="s">
        <v>156</v>
      </c>
      <c r="D377" s="226"/>
      <c r="E377" s="139" t="s">
        <v>142</v>
      </c>
      <c r="F377" s="141"/>
      <c r="G377" s="133">
        <f>+SUM('12:25'!G377)</f>
        <v>0</v>
      </c>
      <c r="H377" s="133">
        <f>+SUM('12:25'!H377)</f>
        <v>0</v>
      </c>
      <c r="I377" s="133">
        <f>+SUM('12:25'!I377)</f>
        <v>0</v>
      </c>
      <c r="J377" s="133">
        <f>+SUM('12:25'!J377)</f>
        <v>0</v>
      </c>
      <c r="K377" s="137">
        <f t="shared" si="58"/>
        <v>0</v>
      </c>
      <c r="L377" s="137">
        <f t="shared" si="59"/>
        <v>0</v>
      </c>
      <c r="M377" s="137">
        <v>580.1</v>
      </c>
      <c r="N377" s="137">
        <f>+M377*1000/(188*4*13*60)*T377</f>
        <v>4.9449331696672125</v>
      </c>
      <c r="O377" s="133">
        <f>+SUM('12:25'!O377)</f>
        <v>0</v>
      </c>
      <c r="P377" s="137">
        <f t="shared" si="60"/>
        <v>0</v>
      </c>
      <c r="Q377" s="133">
        <f>+SUM('12:25'!Q377)</f>
        <v>0</v>
      </c>
      <c r="R377" s="19">
        <f t="shared" si="61"/>
        <v>0</v>
      </c>
      <c r="S377" s="137">
        <f t="shared" si="62"/>
        <v>0</v>
      </c>
      <c r="T377" s="20">
        <v>5</v>
      </c>
      <c r="U377" s="133">
        <f>+SUM('12:25'!U377)</f>
        <v>0</v>
      </c>
      <c r="V377" s="143" t="str">
        <f t="array" ref="V377">IF(ISERROR(L377/K377),"",L377/K377)</f>
        <v/>
      </c>
      <c r="W377" s="133">
        <f>+SUM('12:25'!W377)</f>
        <v>0</v>
      </c>
      <c r="X377" s="133">
        <f>+SUM('12:25'!X377)</f>
        <v>0</v>
      </c>
      <c r="Y377" s="133">
        <f>+SUM('12:25'!Y377)</f>
        <v>0</v>
      </c>
      <c r="Z377" s="133">
        <f>+SUM('12:25'!Z377)</f>
        <v>0</v>
      </c>
      <c r="AA377" s="133">
        <f>+SUM('12:25'!AA377)</f>
        <v>0</v>
      </c>
      <c r="AB377" s="133">
        <f>+SUM('12:25'!AB377)</f>
        <v>0</v>
      </c>
      <c r="AC377" s="133">
        <f>+SUM('12:25'!AC377)</f>
        <v>0</v>
      </c>
      <c r="AD377" s="1">
        <f t="shared" si="56"/>
        <v>0</v>
      </c>
      <c r="AE377" s="52">
        <v>133.19</v>
      </c>
      <c r="AF377" s="1">
        <f t="shared" si="57"/>
        <v>0</v>
      </c>
    </row>
    <row r="378" spans="1:32" s="2" customFormat="1" ht="21.95" customHeight="1">
      <c r="A378" s="140">
        <v>300009</v>
      </c>
      <c r="B378" s="135">
        <v>18501</v>
      </c>
      <c r="C378" s="226" t="s">
        <v>157</v>
      </c>
      <c r="D378" s="226" t="s">
        <v>158</v>
      </c>
      <c r="E378" s="139" t="s">
        <v>135</v>
      </c>
      <c r="F378" s="141"/>
      <c r="G378" s="133">
        <f>+SUM('12:25'!G378)</f>
        <v>2.125</v>
      </c>
      <c r="H378" s="133">
        <f>+SUM('12:25'!H378)</f>
        <v>0.125</v>
      </c>
      <c r="I378" s="133">
        <f>+SUM('12:25'!I378)</f>
        <v>2.125</v>
      </c>
      <c r="J378" s="133">
        <f>+SUM('12:25'!J378)</f>
        <v>0</v>
      </c>
      <c r="K378" s="137">
        <f t="shared" si="58"/>
        <v>1106.6999999999998</v>
      </c>
      <c r="L378" s="137">
        <f t="shared" si="59"/>
        <v>1106.6999999999998</v>
      </c>
      <c r="M378" s="15">
        <v>520.79999999999995</v>
      </c>
      <c r="N378" s="137">
        <f>+M378*1000/(188*4*13*60)*T378</f>
        <v>4.4394435351882153</v>
      </c>
      <c r="O378" s="133">
        <f>+SUM('12:25'!O378)</f>
        <v>0</v>
      </c>
      <c r="P378" s="137">
        <f t="shared" si="60"/>
        <v>9.4338175122749579</v>
      </c>
      <c r="Q378" s="133">
        <f>+SUM('12:25'!Q378)</f>
        <v>2</v>
      </c>
      <c r="R378" s="19">
        <f t="shared" si="61"/>
        <v>14</v>
      </c>
      <c r="S378" s="137">
        <f t="shared" si="62"/>
        <v>4.5661824877250421</v>
      </c>
      <c r="T378" s="20">
        <v>5</v>
      </c>
      <c r="U378" s="133">
        <f>+SUM('12:25'!U378)</f>
        <v>7</v>
      </c>
      <c r="V378" s="143">
        <f t="array" ref="V378">IF(ISERROR(L378/K378),"",L378/K378)</f>
        <v>1</v>
      </c>
      <c r="W378" s="133">
        <f>+SUM('12:25'!W378)</f>
        <v>0</v>
      </c>
      <c r="X378" s="133">
        <f>+SUM('12:25'!X378)</f>
        <v>0</v>
      </c>
      <c r="Y378" s="133">
        <f>+SUM('12:25'!Y378)</f>
        <v>0</v>
      </c>
      <c r="Z378" s="133">
        <f>+SUM('12:25'!Z378)</f>
        <v>0</v>
      </c>
      <c r="AA378" s="133">
        <f>+SUM('12:25'!AA378)</f>
        <v>9.5</v>
      </c>
      <c r="AB378" s="133">
        <f>+SUM('12:25'!AB378)</f>
        <v>0</v>
      </c>
      <c r="AC378" s="133">
        <f>+SUM('12:25'!AC378)</f>
        <v>0</v>
      </c>
      <c r="AD378" s="1">
        <f t="shared" si="56"/>
        <v>1.1066999999999998</v>
      </c>
      <c r="AE378" s="52">
        <v>209.67</v>
      </c>
      <c r="AF378" s="1">
        <f t="shared" si="57"/>
        <v>232.04178899999994</v>
      </c>
    </row>
    <row r="379" spans="1:32" s="2" customFormat="1" ht="21.95" customHeight="1">
      <c r="A379" s="140">
        <v>300010</v>
      </c>
      <c r="B379" s="135">
        <v>18501</v>
      </c>
      <c r="C379" s="226" t="s">
        <v>157</v>
      </c>
      <c r="D379" s="226" t="s">
        <v>158</v>
      </c>
      <c r="E379" s="139" t="s">
        <v>80</v>
      </c>
      <c r="F379" s="141"/>
      <c r="G379" s="133">
        <f>+SUM('12:25'!G379)</f>
        <v>0</v>
      </c>
      <c r="H379" s="133">
        <f>+SUM('12:25'!H379)</f>
        <v>0</v>
      </c>
      <c r="I379" s="133">
        <f>+SUM('12:25'!I379)</f>
        <v>0</v>
      </c>
      <c r="J379" s="133">
        <f>+SUM('12:25'!J379)</f>
        <v>0</v>
      </c>
      <c r="K379" s="137">
        <f t="shared" si="58"/>
        <v>0</v>
      </c>
      <c r="L379" s="137">
        <f t="shared" si="59"/>
        <v>0</v>
      </c>
      <c r="M379" s="15">
        <v>530.9</v>
      </c>
      <c r="N379" s="137">
        <f>+M379*1000/(188*4*13*60)*T379</f>
        <v>4.5255387343153304</v>
      </c>
      <c r="O379" s="133">
        <f>+SUM('12:25'!O379)</f>
        <v>0</v>
      </c>
      <c r="P379" s="137">
        <f t="shared" si="60"/>
        <v>0</v>
      </c>
      <c r="Q379" s="133">
        <f>+SUM('12:25'!Q379)</f>
        <v>0</v>
      </c>
      <c r="R379" s="19">
        <f t="shared" si="61"/>
        <v>0</v>
      </c>
      <c r="S379" s="137">
        <f t="shared" si="62"/>
        <v>0</v>
      </c>
      <c r="T379" s="20">
        <v>5</v>
      </c>
      <c r="U379" s="133">
        <f>+SUM('12:25'!U379)</f>
        <v>0</v>
      </c>
      <c r="V379" s="143" t="str">
        <f t="array" ref="V379">IF(ISERROR(L379/K379),"",L379/K379)</f>
        <v/>
      </c>
      <c r="W379" s="133">
        <f>+SUM('12:25'!W379)</f>
        <v>0</v>
      </c>
      <c r="X379" s="133">
        <f>+SUM('12:25'!X379)</f>
        <v>0</v>
      </c>
      <c r="Y379" s="133">
        <f>+SUM('12:25'!Y379)</f>
        <v>0</v>
      </c>
      <c r="Z379" s="133">
        <f>+SUM('12:25'!Z379)</f>
        <v>0</v>
      </c>
      <c r="AA379" s="133">
        <f>+SUM('12:25'!AA379)</f>
        <v>0</v>
      </c>
      <c r="AB379" s="133">
        <f>+SUM('12:25'!AB379)</f>
        <v>0</v>
      </c>
      <c r="AC379" s="133">
        <f>+SUM('12:25'!AC379)</f>
        <v>0</v>
      </c>
      <c r="AD379" s="1">
        <f t="shared" si="56"/>
        <v>0</v>
      </c>
      <c r="AE379" s="52">
        <v>179.72</v>
      </c>
      <c r="AF379" s="1">
        <f t="shared" si="57"/>
        <v>0</v>
      </c>
    </row>
    <row r="380" spans="1:32" s="2" customFormat="1" ht="21.95" customHeight="1">
      <c r="A380" s="140">
        <v>300305</v>
      </c>
      <c r="B380" s="135">
        <v>18501</v>
      </c>
      <c r="C380" s="226" t="s">
        <v>159</v>
      </c>
      <c r="D380" s="226" t="s">
        <v>160</v>
      </c>
      <c r="E380" s="139" t="s">
        <v>57</v>
      </c>
      <c r="F380" s="141"/>
      <c r="G380" s="133">
        <f>+SUM('12:25'!G380)</f>
        <v>0</v>
      </c>
      <c r="H380" s="133">
        <f>+SUM('12:25'!H380)</f>
        <v>0</v>
      </c>
      <c r="I380" s="133">
        <f>+SUM('12:25'!I380)</f>
        <v>0</v>
      </c>
      <c r="J380" s="133">
        <f>+SUM('12:25'!J380)</f>
        <v>0</v>
      </c>
      <c r="K380" s="137">
        <f t="shared" si="58"/>
        <v>0</v>
      </c>
      <c r="L380" s="137">
        <f t="shared" si="59"/>
        <v>0</v>
      </c>
      <c r="M380" s="137">
        <v>530.20000000000005</v>
      </c>
      <c r="N380" s="137">
        <f t="shared" ref="N380:N385" si="64">+M380*1000/(202*4*13*60)*T380</f>
        <v>4.2063340949479562</v>
      </c>
      <c r="O380" s="133">
        <f>+SUM('12:25'!O380)</f>
        <v>0</v>
      </c>
      <c r="P380" s="137">
        <f t="shared" si="60"/>
        <v>0</v>
      </c>
      <c r="Q380" s="133">
        <f>+SUM('12:25'!Q380)</f>
        <v>0</v>
      </c>
      <c r="R380" s="19">
        <f t="shared" si="61"/>
        <v>0</v>
      </c>
      <c r="S380" s="137">
        <f t="shared" si="62"/>
        <v>0</v>
      </c>
      <c r="T380" s="20">
        <v>5</v>
      </c>
      <c r="U380" s="133">
        <f>+SUM('12:25'!U380)</f>
        <v>0</v>
      </c>
      <c r="V380" s="143" t="str">
        <f t="array" ref="V380">IF(ISERROR(L380/K380),"",L380/K380)</f>
        <v/>
      </c>
      <c r="W380" s="133">
        <f>+SUM('12:25'!W380)</f>
        <v>0</v>
      </c>
      <c r="X380" s="133">
        <f>+SUM('12:25'!X380)</f>
        <v>0</v>
      </c>
      <c r="Y380" s="133">
        <f>+SUM('12:25'!Y380)</f>
        <v>0</v>
      </c>
      <c r="Z380" s="133">
        <f>+SUM('12:25'!Z380)</f>
        <v>0</v>
      </c>
      <c r="AA380" s="133">
        <f>+SUM('12:25'!AA380)</f>
        <v>0</v>
      </c>
      <c r="AB380" s="133">
        <f>+SUM('12:25'!AB380)</f>
        <v>0</v>
      </c>
      <c r="AC380" s="133">
        <f>+SUM('12:25'!AC380)</f>
        <v>0</v>
      </c>
      <c r="AD380" s="1">
        <f t="shared" si="56"/>
        <v>0</v>
      </c>
      <c r="AE380" s="52">
        <v>139.38</v>
      </c>
      <c r="AF380" s="1">
        <f t="shared" si="57"/>
        <v>0</v>
      </c>
    </row>
    <row r="381" spans="1:32" s="2" customFormat="1" ht="21.95" customHeight="1">
      <c r="A381" s="140">
        <v>300306</v>
      </c>
      <c r="B381" s="135">
        <v>18501</v>
      </c>
      <c r="C381" s="226" t="s">
        <v>159</v>
      </c>
      <c r="D381" s="226" t="s">
        <v>160</v>
      </c>
      <c r="E381" s="139" t="s">
        <v>117</v>
      </c>
      <c r="F381" s="141"/>
      <c r="G381" s="133">
        <f>+SUM('12:25'!G381)</f>
        <v>0</v>
      </c>
      <c r="H381" s="133">
        <f>+SUM('12:25'!H381)</f>
        <v>0</v>
      </c>
      <c r="I381" s="133">
        <f>+SUM('12:25'!I381)</f>
        <v>0</v>
      </c>
      <c r="J381" s="133">
        <f>+SUM('12:25'!J381)</f>
        <v>0</v>
      </c>
      <c r="K381" s="137">
        <f t="shared" si="58"/>
        <v>0</v>
      </c>
      <c r="L381" s="137">
        <f t="shared" si="59"/>
        <v>0</v>
      </c>
      <c r="M381" s="137">
        <v>538.79999999999995</v>
      </c>
      <c r="N381" s="137">
        <f t="shared" si="64"/>
        <v>4.2745620715917747</v>
      </c>
      <c r="O381" s="133">
        <f>+SUM('12:25'!O381)</f>
        <v>0</v>
      </c>
      <c r="P381" s="137">
        <f t="shared" si="60"/>
        <v>0</v>
      </c>
      <c r="Q381" s="133">
        <f>+SUM('12:25'!Q381)</f>
        <v>0</v>
      </c>
      <c r="R381" s="19">
        <f t="shared" si="61"/>
        <v>0</v>
      </c>
      <c r="S381" s="137">
        <f t="shared" si="62"/>
        <v>0</v>
      </c>
      <c r="T381" s="20">
        <v>5</v>
      </c>
      <c r="U381" s="133">
        <f>+SUM('12:25'!U381)</f>
        <v>0</v>
      </c>
      <c r="V381" s="143" t="str">
        <f t="array" ref="V381">IF(ISERROR(L381/K381),"",L381/K381)</f>
        <v/>
      </c>
      <c r="W381" s="133">
        <f>+SUM('12:25'!W381)</f>
        <v>0</v>
      </c>
      <c r="X381" s="133">
        <f>+SUM('12:25'!X381)</f>
        <v>0</v>
      </c>
      <c r="Y381" s="133">
        <f>+SUM('12:25'!Y381)</f>
        <v>0</v>
      </c>
      <c r="Z381" s="133">
        <f>+SUM('12:25'!Z381)</f>
        <v>0</v>
      </c>
      <c r="AA381" s="133">
        <f>+SUM('12:25'!AA381)</f>
        <v>0</v>
      </c>
      <c r="AB381" s="133">
        <f>+SUM('12:25'!AB381)</f>
        <v>0</v>
      </c>
      <c r="AC381" s="133">
        <f>+SUM('12:25'!AC381)</f>
        <v>0</v>
      </c>
      <c r="AD381" s="1">
        <f t="shared" si="56"/>
        <v>0</v>
      </c>
      <c r="AE381" s="52">
        <v>139.38</v>
      </c>
      <c r="AF381" s="1">
        <f t="shared" si="57"/>
        <v>0</v>
      </c>
    </row>
    <row r="382" spans="1:32" s="2" customFormat="1" ht="22.5" customHeight="1">
      <c r="A382" s="140">
        <v>300307</v>
      </c>
      <c r="B382" s="135">
        <v>18501</v>
      </c>
      <c r="C382" s="226" t="s">
        <v>159</v>
      </c>
      <c r="D382" s="226" t="s">
        <v>160</v>
      </c>
      <c r="E382" s="139" t="s">
        <v>133</v>
      </c>
      <c r="F382" s="141"/>
      <c r="G382" s="133">
        <f>+SUM('12:25'!G382)</f>
        <v>0</v>
      </c>
      <c r="H382" s="133">
        <f>+SUM('12:25'!H382)</f>
        <v>0</v>
      </c>
      <c r="I382" s="133">
        <f>+SUM('12:25'!I382)</f>
        <v>0</v>
      </c>
      <c r="J382" s="133">
        <f>+SUM('12:25'!J382)</f>
        <v>0</v>
      </c>
      <c r="K382" s="137">
        <f t="shared" si="58"/>
        <v>0</v>
      </c>
      <c r="L382" s="137">
        <f t="shared" si="59"/>
        <v>0</v>
      </c>
      <c r="M382" s="137">
        <v>569</v>
      </c>
      <c r="N382" s="137">
        <f t="shared" si="64"/>
        <v>4.5141533384107637</v>
      </c>
      <c r="O382" s="133">
        <f>+SUM('12:25'!O382)</f>
        <v>0</v>
      </c>
      <c r="P382" s="137">
        <f t="shared" si="60"/>
        <v>0</v>
      </c>
      <c r="Q382" s="133">
        <f>+SUM('12:25'!Q382)</f>
        <v>0</v>
      </c>
      <c r="R382" s="19">
        <f t="shared" si="61"/>
        <v>0</v>
      </c>
      <c r="S382" s="137">
        <f t="shared" si="62"/>
        <v>0</v>
      </c>
      <c r="T382" s="20">
        <v>5</v>
      </c>
      <c r="U382" s="133">
        <f>+SUM('12:25'!U382)</f>
        <v>0</v>
      </c>
      <c r="V382" s="143" t="str">
        <f t="array" ref="V382">IF(ISERROR(L382/K382),"",L382/K382)</f>
        <v/>
      </c>
      <c r="W382" s="133">
        <f>+SUM('12:25'!W382)</f>
        <v>0</v>
      </c>
      <c r="X382" s="133">
        <f>+SUM('12:25'!X382)</f>
        <v>0</v>
      </c>
      <c r="Y382" s="133">
        <f>+SUM('12:25'!Y382)</f>
        <v>0</v>
      </c>
      <c r="Z382" s="133">
        <f>+SUM('12:25'!Z382)</f>
        <v>0</v>
      </c>
      <c r="AA382" s="133">
        <f>+SUM('12:25'!AA382)</f>
        <v>0</v>
      </c>
      <c r="AB382" s="133">
        <f>+SUM('12:25'!AB382)</f>
        <v>0</v>
      </c>
      <c r="AC382" s="133">
        <f>+SUM('12:25'!AC382)</f>
        <v>0</v>
      </c>
      <c r="AD382" s="1">
        <f t="shared" si="56"/>
        <v>0</v>
      </c>
      <c r="AE382" s="52">
        <v>139.38</v>
      </c>
      <c r="AF382" s="1">
        <f t="shared" si="57"/>
        <v>0</v>
      </c>
    </row>
    <row r="383" spans="1:32" s="2" customFormat="1" ht="21.95" customHeight="1">
      <c r="A383" s="140">
        <v>300308</v>
      </c>
      <c r="B383" s="135">
        <v>18501</v>
      </c>
      <c r="C383" s="226" t="s">
        <v>159</v>
      </c>
      <c r="D383" s="226" t="s">
        <v>160</v>
      </c>
      <c r="E383" s="139" t="s">
        <v>132</v>
      </c>
      <c r="F383" s="141"/>
      <c r="G383" s="133">
        <f>+SUM('12:25'!G383)</f>
        <v>0</v>
      </c>
      <c r="H383" s="133">
        <f>+SUM('12:25'!H383)</f>
        <v>0</v>
      </c>
      <c r="I383" s="133">
        <f>+SUM('12:25'!I383)</f>
        <v>0</v>
      </c>
      <c r="J383" s="133">
        <f>+SUM('12:25'!J383)</f>
        <v>0</v>
      </c>
      <c r="K383" s="137">
        <f t="shared" si="58"/>
        <v>0</v>
      </c>
      <c r="L383" s="137">
        <f t="shared" si="59"/>
        <v>0</v>
      </c>
      <c r="M383" s="137">
        <v>523.6</v>
      </c>
      <c r="N383" s="137">
        <f t="shared" si="64"/>
        <v>4.1539730896166542</v>
      </c>
      <c r="O383" s="133">
        <f>+SUM('12:25'!O383)</f>
        <v>0</v>
      </c>
      <c r="P383" s="137">
        <f t="shared" si="60"/>
        <v>0</v>
      </c>
      <c r="Q383" s="133">
        <f>+SUM('12:25'!Q383)</f>
        <v>0</v>
      </c>
      <c r="R383" s="19">
        <f t="shared" si="61"/>
        <v>0</v>
      </c>
      <c r="S383" s="137">
        <f t="shared" si="62"/>
        <v>0</v>
      </c>
      <c r="T383" s="20">
        <v>5</v>
      </c>
      <c r="U383" s="133">
        <f>+SUM('12:25'!U383)</f>
        <v>0</v>
      </c>
      <c r="V383" s="143" t="str">
        <f t="array" ref="V383">IF(ISERROR(L383/K383),"",L383/K383)</f>
        <v/>
      </c>
      <c r="W383" s="133">
        <f>+SUM('12:25'!W383)</f>
        <v>0</v>
      </c>
      <c r="X383" s="133">
        <f>+SUM('12:25'!X383)</f>
        <v>0</v>
      </c>
      <c r="Y383" s="133">
        <f>+SUM('12:25'!Y383)</f>
        <v>0</v>
      </c>
      <c r="Z383" s="133">
        <f>+SUM('12:25'!Z383)</f>
        <v>0</v>
      </c>
      <c r="AA383" s="133">
        <f>+SUM('12:25'!AA383)</f>
        <v>0</v>
      </c>
      <c r="AB383" s="133">
        <f>+SUM('12:25'!AB383)</f>
        <v>0</v>
      </c>
      <c r="AC383" s="133">
        <f>+SUM('12:25'!AC383)</f>
        <v>0</v>
      </c>
      <c r="AD383" s="1">
        <f t="shared" si="56"/>
        <v>0</v>
      </c>
      <c r="AE383" s="52">
        <v>139.38</v>
      </c>
      <c r="AF383" s="1">
        <f t="shared" si="57"/>
        <v>0</v>
      </c>
    </row>
    <row r="384" spans="1:32" s="2" customFormat="1" ht="21.95" customHeight="1">
      <c r="A384" s="140">
        <v>300182</v>
      </c>
      <c r="B384" s="135">
        <v>18501</v>
      </c>
      <c r="C384" s="226" t="s">
        <v>161</v>
      </c>
      <c r="D384" s="226" t="s">
        <v>160</v>
      </c>
      <c r="E384" s="139" t="s">
        <v>80</v>
      </c>
      <c r="F384" s="141"/>
      <c r="G384" s="133">
        <f>+SUM('12:25'!G384)</f>
        <v>0</v>
      </c>
      <c r="H384" s="133">
        <f>+SUM('12:25'!H384)</f>
        <v>0</v>
      </c>
      <c r="I384" s="133">
        <f>+SUM('12:25'!I384)</f>
        <v>0</v>
      </c>
      <c r="J384" s="133">
        <f>+SUM('12:25'!J384)</f>
        <v>0</v>
      </c>
      <c r="K384" s="137">
        <f t="shared" si="58"/>
        <v>0</v>
      </c>
      <c r="L384" s="137">
        <f t="shared" si="59"/>
        <v>0</v>
      </c>
      <c r="M384" s="137">
        <v>649.1</v>
      </c>
      <c r="N384" s="137">
        <f t="shared" si="64"/>
        <v>5.1496255394770252</v>
      </c>
      <c r="O384" s="133">
        <f>+SUM('12:25'!O384)</f>
        <v>0</v>
      </c>
      <c r="P384" s="137">
        <f t="shared" si="60"/>
        <v>0</v>
      </c>
      <c r="Q384" s="133">
        <f>+SUM('12:25'!Q384)</f>
        <v>0</v>
      </c>
      <c r="R384" s="19">
        <f t="shared" si="61"/>
        <v>0</v>
      </c>
      <c r="S384" s="137">
        <f t="shared" si="62"/>
        <v>0</v>
      </c>
      <c r="T384" s="20">
        <v>5</v>
      </c>
      <c r="U384" s="133">
        <f>+SUM('12:25'!U384)</f>
        <v>0</v>
      </c>
      <c r="V384" s="143" t="str">
        <f t="array" ref="V384">IF(ISERROR(L384/K384),"",L384/K384)</f>
        <v/>
      </c>
      <c r="W384" s="133">
        <f>+SUM('12:25'!W384)</f>
        <v>0</v>
      </c>
      <c r="X384" s="133">
        <f>+SUM('12:25'!X384)</f>
        <v>0</v>
      </c>
      <c r="Y384" s="133">
        <f>+SUM('12:25'!Y384)</f>
        <v>0</v>
      </c>
      <c r="Z384" s="133">
        <f>+SUM('12:25'!Z384)</f>
        <v>0</v>
      </c>
      <c r="AA384" s="133">
        <f>+SUM('12:25'!AA384)</f>
        <v>0</v>
      </c>
      <c r="AB384" s="133">
        <f>+SUM('12:25'!AB384)</f>
        <v>0</v>
      </c>
      <c r="AC384" s="133">
        <f>+SUM('12:25'!AC384)</f>
        <v>0</v>
      </c>
      <c r="AD384" s="1">
        <f t="shared" si="56"/>
        <v>0</v>
      </c>
      <c r="AE384" s="52">
        <v>165.62</v>
      </c>
      <c r="AF384" s="1">
        <f t="shared" si="57"/>
        <v>0</v>
      </c>
    </row>
    <row r="385" spans="1:32" s="2" customFormat="1" ht="21.95" customHeight="1">
      <c r="A385" s="140">
        <v>300185</v>
      </c>
      <c r="B385" s="135">
        <v>18501</v>
      </c>
      <c r="C385" s="226" t="s">
        <v>161</v>
      </c>
      <c r="D385" s="226" t="s">
        <v>160</v>
      </c>
      <c r="E385" s="139" t="s">
        <v>135</v>
      </c>
      <c r="F385" s="141"/>
      <c r="G385" s="133">
        <f>+SUM('12:25'!G385)</f>
        <v>0</v>
      </c>
      <c r="H385" s="133">
        <f>+SUM('12:25'!H385)</f>
        <v>0</v>
      </c>
      <c r="I385" s="133">
        <f>+SUM('12:25'!I385)</f>
        <v>0</v>
      </c>
      <c r="J385" s="133">
        <f>+SUM('12:25'!J385)</f>
        <v>0</v>
      </c>
      <c r="K385" s="137">
        <f t="shared" si="58"/>
        <v>0</v>
      </c>
      <c r="L385" s="137">
        <f t="shared" si="59"/>
        <v>0</v>
      </c>
      <c r="M385" s="137">
        <v>638</v>
      </c>
      <c r="N385" s="137">
        <f t="shared" si="64"/>
        <v>6.0738766184310737</v>
      </c>
      <c r="O385" s="133">
        <f>+SUM('12:25'!O385)</f>
        <v>0</v>
      </c>
      <c r="P385" s="137">
        <f t="shared" si="60"/>
        <v>0</v>
      </c>
      <c r="Q385" s="133">
        <f>+SUM('12:25'!Q385)</f>
        <v>0</v>
      </c>
      <c r="R385" s="19">
        <f t="shared" si="61"/>
        <v>0</v>
      </c>
      <c r="S385" s="137">
        <f t="shared" si="62"/>
        <v>0</v>
      </c>
      <c r="T385" s="20">
        <v>6</v>
      </c>
      <c r="U385" s="133">
        <f>+SUM('12:25'!U385)</f>
        <v>0</v>
      </c>
      <c r="V385" s="143" t="str">
        <f t="array" ref="V385">IF(ISERROR(L385/K385),"",L385/K385)</f>
        <v/>
      </c>
      <c r="W385" s="133">
        <f>+SUM('12:25'!W385)</f>
        <v>0</v>
      </c>
      <c r="X385" s="133">
        <f>+SUM('12:25'!X385)</f>
        <v>0</v>
      </c>
      <c r="Y385" s="133">
        <f>+SUM('12:25'!Y385)</f>
        <v>0</v>
      </c>
      <c r="Z385" s="133">
        <f>+SUM('12:25'!Z385)</f>
        <v>0</v>
      </c>
      <c r="AA385" s="133">
        <f>+SUM('12:25'!AA385)</f>
        <v>0</v>
      </c>
      <c r="AB385" s="133">
        <f>+SUM('12:25'!AB385)</f>
        <v>0</v>
      </c>
      <c r="AC385" s="133">
        <f>+SUM('12:25'!AC385)</f>
        <v>0</v>
      </c>
      <c r="AD385" s="1">
        <f t="shared" si="56"/>
        <v>0</v>
      </c>
      <c r="AE385" s="52">
        <v>193.22</v>
      </c>
      <c r="AF385" s="1">
        <f t="shared" si="57"/>
        <v>0</v>
      </c>
    </row>
    <row r="386" spans="1:32" s="2" customFormat="1" ht="21.95" customHeight="1">
      <c r="A386" s="140">
        <v>300272</v>
      </c>
      <c r="B386" s="135">
        <v>18502</v>
      </c>
      <c r="C386" s="226" t="s">
        <v>162</v>
      </c>
      <c r="D386" s="226"/>
      <c r="E386" s="139" t="s">
        <v>42</v>
      </c>
      <c r="F386" s="141"/>
      <c r="G386" s="133">
        <f>+SUM('12:25'!G386)</f>
        <v>0</v>
      </c>
      <c r="H386" s="133">
        <f>+SUM('12:25'!H386)</f>
        <v>0</v>
      </c>
      <c r="I386" s="133">
        <f>+SUM('12:25'!I386)</f>
        <v>0</v>
      </c>
      <c r="J386" s="133">
        <f>+SUM('12:25'!J386)</f>
        <v>0</v>
      </c>
      <c r="K386" s="137">
        <f t="shared" si="58"/>
        <v>0</v>
      </c>
      <c r="L386" s="137">
        <f t="shared" si="59"/>
        <v>0</v>
      </c>
      <c r="M386" s="137">
        <v>523.9</v>
      </c>
      <c r="N386" s="137">
        <f>+M386*1000/(128*4*13*60)*T386</f>
        <v>5.247395833333333</v>
      </c>
      <c r="O386" s="133">
        <f>+SUM('12:25'!O386)</f>
        <v>0</v>
      </c>
      <c r="P386" s="137">
        <f t="shared" si="60"/>
        <v>0</v>
      </c>
      <c r="Q386" s="133">
        <f>+SUM('12:25'!Q386)</f>
        <v>0</v>
      </c>
      <c r="R386" s="19">
        <f t="shared" si="61"/>
        <v>0</v>
      </c>
      <c r="S386" s="137">
        <f t="shared" si="62"/>
        <v>0</v>
      </c>
      <c r="T386" s="20">
        <v>4</v>
      </c>
      <c r="U386" s="133">
        <f>+SUM('12:25'!U386)</f>
        <v>0</v>
      </c>
      <c r="V386" s="143" t="str">
        <f t="array" ref="V386">IF(ISERROR(L386/K386),"",L386/K386)</f>
        <v/>
      </c>
      <c r="W386" s="133">
        <f>+SUM('12:25'!W386)</f>
        <v>0</v>
      </c>
      <c r="X386" s="133">
        <f>+SUM('12:25'!X386)</f>
        <v>0</v>
      </c>
      <c r="Y386" s="133">
        <f>+SUM('12:25'!Y386)</f>
        <v>0</v>
      </c>
      <c r="Z386" s="133">
        <f>+SUM('12:25'!Z386)</f>
        <v>0</v>
      </c>
      <c r="AA386" s="133">
        <f>+SUM('12:25'!AA386)</f>
        <v>0</v>
      </c>
      <c r="AB386" s="133">
        <f>+SUM('12:25'!AB386)</f>
        <v>0</v>
      </c>
      <c r="AC386" s="133">
        <f>+SUM('12:25'!AC386)</f>
        <v>0</v>
      </c>
      <c r="AD386" s="1">
        <f t="shared" si="56"/>
        <v>0</v>
      </c>
      <c r="AE386" s="52">
        <v>190.64</v>
      </c>
      <c r="AF386" s="1">
        <f t="shared" si="57"/>
        <v>0</v>
      </c>
    </row>
    <row r="387" spans="1:32" s="2" customFormat="1" ht="21.95" customHeight="1">
      <c r="A387" s="140">
        <v>300273</v>
      </c>
      <c r="B387" s="135">
        <v>18502</v>
      </c>
      <c r="C387" s="226" t="s">
        <v>162</v>
      </c>
      <c r="D387" s="226"/>
      <c r="E387" s="139" t="s">
        <v>163</v>
      </c>
      <c r="F387" s="141"/>
      <c r="G387" s="133">
        <f>+SUM('12:25'!G387)</f>
        <v>0</v>
      </c>
      <c r="H387" s="133">
        <f>+SUM('12:25'!H387)</f>
        <v>0</v>
      </c>
      <c r="I387" s="133">
        <f>+SUM('12:25'!I387)</f>
        <v>0</v>
      </c>
      <c r="J387" s="133">
        <f>+SUM('12:25'!J387)</f>
        <v>0</v>
      </c>
      <c r="K387" s="137">
        <f t="shared" si="58"/>
        <v>0</v>
      </c>
      <c r="L387" s="137">
        <f t="shared" si="59"/>
        <v>0</v>
      </c>
      <c r="M387" s="137">
        <v>523.9</v>
      </c>
      <c r="N387" s="137">
        <f>+M387*1000/(128*4*13*60)*T387</f>
        <v>6.5592447916666661</v>
      </c>
      <c r="O387" s="133">
        <f>+SUM('12:25'!O387)</f>
        <v>0</v>
      </c>
      <c r="P387" s="137">
        <f t="shared" si="60"/>
        <v>0</v>
      </c>
      <c r="Q387" s="133">
        <f>+SUM('12:25'!Q387)</f>
        <v>0</v>
      </c>
      <c r="R387" s="19">
        <f t="shared" si="61"/>
        <v>0</v>
      </c>
      <c r="S387" s="137">
        <f t="shared" si="62"/>
        <v>0</v>
      </c>
      <c r="T387" s="20">
        <v>5</v>
      </c>
      <c r="U387" s="133">
        <f>+SUM('12:25'!U387)</f>
        <v>0</v>
      </c>
      <c r="V387" s="143" t="str">
        <f t="array" ref="V387">IF(ISERROR(L387/K387),"",L387/K387)</f>
        <v/>
      </c>
      <c r="W387" s="133">
        <f>+SUM('12:25'!W387)</f>
        <v>0</v>
      </c>
      <c r="X387" s="133">
        <f>+SUM('12:25'!X387)</f>
        <v>0</v>
      </c>
      <c r="Y387" s="133">
        <f>+SUM('12:25'!Y387)</f>
        <v>0</v>
      </c>
      <c r="Z387" s="133">
        <f>+SUM('12:25'!Z387)</f>
        <v>0</v>
      </c>
      <c r="AA387" s="133">
        <f>+SUM('12:25'!AA387)</f>
        <v>0</v>
      </c>
      <c r="AB387" s="133">
        <f>+SUM('12:25'!AB387)</f>
        <v>0</v>
      </c>
      <c r="AC387" s="133">
        <f>+SUM('12:25'!AC387)</f>
        <v>0</v>
      </c>
      <c r="AD387" s="1">
        <f t="shared" si="56"/>
        <v>0</v>
      </c>
      <c r="AE387" s="52">
        <v>228.76</v>
      </c>
      <c r="AF387" s="1">
        <f t="shared" si="57"/>
        <v>0</v>
      </c>
    </row>
    <row r="388" spans="1:32" s="2" customFormat="1" ht="21.95" customHeight="1">
      <c r="A388" s="140">
        <v>300274</v>
      </c>
      <c r="B388" s="135">
        <v>18502</v>
      </c>
      <c r="C388" s="226" t="s">
        <v>162</v>
      </c>
      <c r="D388" s="226"/>
      <c r="E388" s="139" t="s">
        <v>146</v>
      </c>
      <c r="F388" s="141"/>
      <c r="G388" s="133">
        <f>+SUM('12:25'!G388)</f>
        <v>0</v>
      </c>
      <c r="H388" s="133">
        <f>+SUM('12:25'!H388)</f>
        <v>0</v>
      </c>
      <c r="I388" s="133">
        <f>+SUM('12:25'!I388)</f>
        <v>0</v>
      </c>
      <c r="J388" s="133">
        <f>+SUM('12:25'!J388)</f>
        <v>0</v>
      </c>
      <c r="K388" s="137">
        <f t="shared" si="58"/>
        <v>0</v>
      </c>
      <c r="L388" s="137">
        <f t="shared" si="59"/>
        <v>0</v>
      </c>
      <c r="M388" s="137">
        <v>523.9</v>
      </c>
      <c r="N388" s="137">
        <f>+M388*1000/(128*4*13*60)*T388</f>
        <v>5.247395833333333</v>
      </c>
      <c r="O388" s="133">
        <f>+SUM('12:25'!O388)</f>
        <v>0</v>
      </c>
      <c r="P388" s="137">
        <f t="shared" si="60"/>
        <v>0</v>
      </c>
      <c r="Q388" s="133">
        <f>+SUM('12:25'!Q388)</f>
        <v>0</v>
      </c>
      <c r="R388" s="19">
        <f t="shared" si="61"/>
        <v>0</v>
      </c>
      <c r="S388" s="137">
        <f t="shared" si="62"/>
        <v>0</v>
      </c>
      <c r="T388" s="20">
        <v>4</v>
      </c>
      <c r="U388" s="133">
        <f>+SUM('12:25'!U388)</f>
        <v>0</v>
      </c>
      <c r="V388" s="143" t="str">
        <f t="array" ref="V388">IF(ISERROR(L388/K388),"",L388/K388)</f>
        <v/>
      </c>
      <c r="W388" s="133">
        <f>+SUM('12:25'!W388)</f>
        <v>0</v>
      </c>
      <c r="X388" s="133">
        <f>+SUM('12:25'!X388)</f>
        <v>0</v>
      </c>
      <c r="Y388" s="133">
        <f>+SUM('12:25'!Y388)</f>
        <v>0</v>
      </c>
      <c r="Z388" s="133">
        <f>+SUM('12:25'!Z388)</f>
        <v>0</v>
      </c>
      <c r="AA388" s="133">
        <f>+SUM('12:25'!AA388)</f>
        <v>0</v>
      </c>
      <c r="AB388" s="133">
        <f>+SUM('12:25'!AB388)</f>
        <v>0</v>
      </c>
      <c r="AC388" s="133">
        <f>+SUM('12:25'!AC388)</f>
        <v>0</v>
      </c>
      <c r="AD388" s="1">
        <f t="shared" si="56"/>
        <v>0</v>
      </c>
      <c r="AE388" s="52">
        <v>190.64</v>
      </c>
      <c r="AF388" s="1">
        <f t="shared" si="57"/>
        <v>0</v>
      </c>
    </row>
    <row r="389" spans="1:32" s="2" customFormat="1" ht="21.95" customHeight="1">
      <c r="A389" s="140">
        <v>300275</v>
      </c>
      <c r="B389" s="135">
        <v>18502</v>
      </c>
      <c r="C389" s="226" t="s">
        <v>162</v>
      </c>
      <c r="D389" s="226"/>
      <c r="E389" s="139" t="s">
        <v>164</v>
      </c>
      <c r="F389" s="141"/>
      <c r="G389" s="133">
        <f>+SUM('12:25'!G389)</f>
        <v>0</v>
      </c>
      <c r="H389" s="133">
        <f>+SUM('12:25'!H389)</f>
        <v>0</v>
      </c>
      <c r="I389" s="133">
        <f>+SUM('12:25'!I389)</f>
        <v>0</v>
      </c>
      <c r="J389" s="133">
        <f>+SUM('12:25'!J389)</f>
        <v>0</v>
      </c>
      <c r="K389" s="137">
        <f t="shared" si="58"/>
        <v>0</v>
      </c>
      <c r="L389" s="137">
        <f t="shared" si="59"/>
        <v>0</v>
      </c>
      <c r="M389" s="137">
        <v>523.9</v>
      </c>
      <c r="N389" s="137">
        <f>+M389*1000/(128*4*13*60)*T389</f>
        <v>5.247395833333333</v>
      </c>
      <c r="O389" s="133">
        <f>+SUM('12:25'!O389)</f>
        <v>0</v>
      </c>
      <c r="P389" s="137">
        <f t="shared" si="60"/>
        <v>0</v>
      </c>
      <c r="Q389" s="133">
        <f>+SUM('12:25'!Q389)</f>
        <v>0</v>
      </c>
      <c r="R389" s="19">
        <f t="shared" si="61"/>
        <v>0</v>
      </c>
      <c r="S389" s="137">
        <f t="shared" si="62"/>
        <v>0</v>
      </c>
      <c r="T389" s="20">
        <v>4</v>
      </c>
      <c r="U389" s="133">
        <f>+SUM('12:25'!U389)</f>
        <v>0</v>
      </c>
      <c r="V389" s="143" t="str">
        <f t="array" ref="V389">IF(ISERROR(L389/K389),"",L389/K389)</f>
        <v/>
      </c>
      <c r="W389" s="133">
        <f>+SUM('12:25'!W389)</f>
        <v>0</v>
      </c>
      <c r="X389" s="133">
        <f>+SUM('12:25'!X389)</f>
        <v>0</v>
      </c>
      <c r="Y389" s="133">
        <f>+SUM('12:25'!Y389)</f>
        <v>0</v>
      </c>
      <c r="Z389" s="133">
        <f>+SUM('12:25'!Z389)</f>
        <v>0</v>
      </c>
      <c r="AA389" s="133">
        <f>+SUM('12:25'!AA389)</f>
        <v>0</v>
      </c>
      <c r="AB389" s="133">
        <f>+SUM('12:25'!AB389)</f>
        <v>0</v>
      </c>
      <c r="AC389" s="133">
        <f>+SUM('12:25'!AC389)</f>
        <v>0</v>
      </c>
      <c r="AD389" s="1">
        <f t="shared" si="56"/>
        <v>0</v>
      </c>
      <c r="AE389" s="52">
        <v>190.64</v>
      </c>
      <c r="AF389" s="1">
        <f t="shared" si="57"/>
        <v>0</v>
      </c>
    </row>
    <row r="390" spans="1:32" s="2" customFormat="1" ht="21.95" customHeight="1">
      <c r="A390" s="140">
        <v>300285</v>
      </c>
      <c r="B390" s="135">
        <v>13001</v>
      </c>
      <c r="C390" s="226" t="s">
        <v>165</v>
      </c>
      <c r="D390" s="226"/>
      <c r="E390" s="139" t="s">
        <v>37</v>
      </c>
      <c r="F390" s="141"/>
      <c r="G390" s="133">
        <f>+SUM('12:25'!G390)</f>
        <v>0</v>
      </c>
      <c r="H390" s="133">
        <f>+SUM('12:25'!H390)</f>
        <v>0</v>
      </c>
      <c r="I390" s="133">
        <f>+SUM('12:25'!I390)</f>
        <v>0</v>
      </c>
      <c r="J390" s="133">
        <f>+SUM('12:25'!J390)</f>
        <v>0</v>
      </c>
      <c r="K390" s="137">
        <f t="shared" si="58"/>
        <v>0</v>
      </c>
      <c r="L390" s="137">
        <f t="shared" si="59"/>
        <v>0</v>
      </c>
      <c r="M390" s="137">
        <v>438.7</v>
      </c>
      <c r="N390" s="137">
        <f t="shared" ref="N390:N395" si="65">+M390*1000/(90*4*18*60)*T390</f>
        <v>5.6417181069958842</v>
      </c>
      <c r="O390" s="133">
        <f>+SUM('12:25'!O390)</f>
        <v>0</v>
      </c>
      <c r="P390" s="137">
        <f t="shared" si="60"/>
        <v>0</v>
      </c>
      <c r="Q390" s="133">
        <f>+SUM('12:25'!Q390)</f>
        <v>0</v>
      </c>
      <c r="R390" s="19">
        <f t="shared" si="61"/>
        <v>0</v>
      </c>
      <c r="S390" s="137">
        <f t="shared" si="62"/>
        <v>0</v>
      </c>
      <c r="T390" s="20">
        <v>5</v>
      </c>
      <c r="U390" s="133">
        <f>+SUM('12:25'!U390)</f>
        <v>0</v>
      </c>
      <c r="V390" s="143" t="str">
        <f t="array" ref="V390">IF(ISERROR(L390/K390),"",L390/K390)</f>
        <v/>
      </c>
      <c r="W390" s="133">
        <f>+SUM('12:25'!W390)</f>
        <v>0</v>
      </c>
      <c r="X390" s="133">
        <f>+SUM('12:25'!X390)</f>
        <v>0</v>
      </c>
      <c r="Y390" s="133">
        <f>+SUM('12:25'!Y390)</f>
        <v>0</v>
      </c>
      <c r="Z390" s="133">
        <f>+SUM('12:25'!Z390)</f>
        <v>0</v>
      </c>
      <c r="AA390" s="133">
        <f>+SUM('12:25'!AA390)</f>
        <v>0</v>
      </c>
      <c r="AB390" s="133">
        <f>+SUM('12:25'!AB390)</f>
        <v>0</v>
      </c>
      <c r="AC390" s="133">
        <f>+SUM('12:25'!AC390)</f>
        <v>0</v>
      </c>
      <c r="AD390" s="1">
        <f t="shared" si="56"/>
        <v>0</v>
      </c>
      <c r="AE390" s="52"/>
      <c r="AF390" s="1">
        <f t="shared" si="57"/>
        <v>0</v>
      </c>
    </row>
    <row r="391" spans="1:32" s="2" customFormat="1" ht="21.95" customHeight="1">
      <c r="A391" s="140">
        <v>300287</v>
      </c>
      <c r="B391" s="135">
        <v>13001</v>
      </c>
      <c r="C391" s="226" t="s">
        <v>165</v>
      </c>
      <c r="D391" s="226"/>
      <c r="E391" s="139" t="s">
        <v>57</v>
      </c>
      <c r="F391" s="141"/>
      <c r="G391" s="133">
        <f>+SUM('12:25'!G391)</f>
        <v>0</v>
      </c>
      <c r="H391" s="133">
        <f>+SUM('12:25'!H391)</f>
        <v>0</v>
      </c>
      <c r="I391" s="133">
        <f>+SUM('12:25'!I391)</f>
        <v>0</v>
      </c>
      <c r="J391" s="133">
        <f>+SUM('12:25'!J391)</f>
        <v>0</v>
      </c>
      <c r="K391" s="137">
        <f t="shared" si="58"/>
        <v>0</v>
      </c>
      <c r="L391" s="137">
        <f t="shared" si="59"/>
        <v>0</v>
      </c>
      <c r="M391" s="137">
        <v>438.7</v>
      </c>
      <c r="N391" s="137">
        <f t="shared" si="65"/>
        <v>5.6417181069958842</v>
      </c>
      <c r="O391" s="133">
        <f>+SUM('12:25'!O391)</f>
        <v>0</v>
      </c>
      <c r="P391" s="137">
        <f t="shared" si="60"/>
        <v>0</v>
      </c>
      <c r="Q391" s="133">
        <f>+SUM('12:25'!Q391)</f>
        <v>0</v>
      </c>
      <c r="R391" s="19">
        <f t="shared" si="61"/>
        <v>0</v>
      </c>
      <c r="S391" s="137">
        <f t="shared" si="62"/>
        <v>0</v>
      </c>
      <c r="T391" s="20">
        <v>5</v>
      </c>
      <c r="U391" s="133">
        <f>+SUM('12:25'!U391)</f>
        <v>0</v>
      </c>
      <c r="V391" s="143" t="str">
        <f t="array" ref="V391">IF(ISERROR(L391/K391),"",L391/K391)</f>
        <v/>
      </c>
      <c r="W391" s="133">
        <f>+SUM('12:25'!W391)</f>
        <v>0</v>
      </c>
      <c r="X391" s="133">
        <f>+SUM('12:25'!X391)</f>
        <v>0</v>
      </c>
      <c r="Y391" s="133">
        <f>+SUM('12:25'!Y391)</f>
        <v>0</v>
      </c>
      <c r="Z391" s="133">
        <f>+SUM('12:25'!Z391)</f>
        <v>0</v>
      </c>
      <c r="AA391" s="133">
        <f>+SUM('12:25'!AA391)</f>
        <v>0</v>
      </c>
      <c r="AB391" s="133">
        <f>+SUM('12:25'!AB391)</f>
        <v>0</v>
      </c>
      <c r="AC391" s="133">
        <f>+SUM('12:25'!AC391)</f>
        <v>0</v>
      </c>
      <c r="AD391" s="1">
        <f t="shared" si="56"/>
        <v>0</v>
      </c>
      <c r="AE391" s="52"/>
      <c r="AF391" s="1">
        <f t="shared" si="57"/>
        <v>0</v>
      </c>
    </row>
    <row r="392" spans="1:32" s="2" customFormat="1" ht="21.95" customHeight="1">
      <c r="A392" s="140">
        <v>300284</v>
      </c>
      <c r="B392" s="135">
        <v>13001</v>
      </c>
      <c r="C392" s="226" t="s">
        <v>165</v>
      </c>
      <c r="D392" s="226"/>
      <c r="E392" s="139" t="s">
        <v>41</v>
      </c>
      <c r="F392" s="141"/>
      <c r="G392" s="133">
        <f>+SUM('12:25'!G392)</f>
        <v>0</v>
      </c>
      <c r="H392" s="133">
        <f>+SUM('12:25'!H392)</f>
        <v>0</v>
      </c>
      <c r="I392" s="133">
        <f>+SUM('12:25'!I392)</f>
        <v>0</v>
      </c>
      <c r="J392" s="133">
        <f>+SUM('12:25'!J392)</f>
        <v>0</v>
      </c>
      <c r="K392" s="137">
        <f t="shared" si="58"/>
        <v>0</v>
      </c>
      <c r="L392" s="137">
        <f t="shared" si="59"/>
        <v>0</v>
      </c>
      <c r="M392" s="137">
        <v>438.7</v>
      </c>
      <c r="N392" s="137">
        <f t="shared" si="65"/>
        <v>5.6417181069958842</v>
      </c>
      <c r="O392" s="133">
        <f>+SUM('12:25'!O392)</f>
        <v>0</v>
      </c>
      <c r="P392" s="137">
        <f t="shared" si="60"/>
        <v>0</v>
      </c>
      <c r="Q392" s="133">
        <f>+SUM('12:25'!Q392)</f>
        <v>0</v>
      </c>
      <c r="R392" s="19">
        <f t="shared" si="61"/>
        <v>0</v>
      </c>
      <c r="S392" s="137">
        <f t="shared" si="62"/>
        <v>0</v>
      </c>
      <c r="T392" s="20">
        <v>5</v>
      </c>
      <c r="U392" s="133">
        <f>+SUM('12:25'!U392)</f>
        <v>0</v>
      </c>
      <c r="V392" s="143" t="str">
        <f t="array" ref="V392">IF(ISERROR(L392/K392),"",L392/K392)</f>
        <v/>
      </c>
      <c r="W392" s="133">
        <f>+SUM('12:25'!W392)</f>
        <v>0</v>
      </c>
      <c r="X392" s="133">
        <f>+SUM('12:25'!X392)</f>
        <v>0</v>
      </c>
      <c r="Y392" s="133">
        <f>+SUM('12:25'!Y392)</f>
        <v>0</v>
      </c>
      <c r="Z392" s="133">
        <f>+SUM('12:25'!Z392)</f>
        <v>0</v>
      </c>
      <c r="AA392" s="133">
        <f>+SUM('12:25'!AA392)</f>
        <v>0</v>
      </c>
      <c r="AB392" s="133">
        <f>+SUM('12:25'!AB392)</f>
        <v>0</v>
      </c>
      <c r="AC392" s="133">
        <f>+SUM('12:25'!AC392)</f>
        <v>0</v>
      </c>
      <c r="AD392" s="1">
        <f t="shared" si="56"/>
        <v>0</v>
      </c>
      <c r="AE392" s="52"/>
      <c r="AF392" s="1">
        <f t="shared" si="57"/>
        <v>0</v>
      </c>
    </row>
    <row r="393" spans="1:32" s="2" customFormat="1" ht="21.95" customHeight="1">
      <c r="A393" s="140">
        <v>300283</v>
      </c>
      <c r="B393" s="135">
        <v>13001</v>
      </c>
      <c r="C393" s="226" t="s">
        <v>165</v>
      </c>
      <c r="D393" s="226"/>
      <c r="E393" s="139" t="s">
        <v>35</v>
      </c>
      <c r="F393" s="141"/>
      <c r="G393" s="133">
        <f>+SUM('12:25'!G393)</f>
        <v>0</v>
      </c>
      <c r="H393" s="133">
        <f>+SUM('12:25'!H393)</f>
        <v>0</v>
      </c>
      <c r="I393" s="133">
        <f>+SUM('12:25'!I393)</f>
        <v>0</v>
      </c>
      <c r="J393" s="133">
        <f>+SUM('12:25'!J393)</f>
        <v>0</v>
      </c>
      <c r="K393" s="149">
        <f t="shared" si="58"/>
        <v>0</v>
      </c>
      <c r="L393" s="149">
        <f t="shared" si="59"/>
        <v>0</v>
      </c>
      <c r="M393" s="137">
        <v>438.7</v>
      </c>
      <c r="N393" s="137">
        <f t="shared" si="65"/>
        <v>5.6417181069958842</v>
      </c>
      <c r="O393" s="133">
        <f>+SUM('12:25'!O393)</f>
        <v>0</v>
      </c>
      <c r="P393" s="137">
        <f t="shared" si="60"/>
        <v>0</v>
      </c>
      <c r="Q393" s="133">
        <f>+SUM('12:25'!Q393)</f>
        <v>0</v>
      </c>
      <c r="R393" s="19">
        <f t="shared" si="61"/>
        <v>0</v>
      </c>
      <c r="S393" s="137">
        <f t="shared" si="62"/>
        <v>0</v>
      </c>
      <c r="T393" s="20">
        <v>5</v>
      </c>
      <c r="U393" s="133">
        <f>+SUM('12:25'!U393)</f>
        <v>0</v>
      </c>
      <c r="V393" s="143" t="str">
        <f t="array" ref="V393">IF(ISERROR(L393/K393),"",L393/K393)</f>
        <v/>
      </c>
      <c r="W393" s="133">
        <f>+SUM('12:25'!W393)</f>
        <v>0</v>
      </c>
      <c r="X393" s="133">
        <f>+SUM('12:25'!X393)</f>
        <v>0</v>
      </c>
      <c r="Y393" s="133">
        <f>+SUM('12:25'!Y393)</f>
        <v>0</v>
      </c>
      <c r="Z393" s="133">
        <f>+SUM('12:25'!Z393)</f>
        <v>0</v>
      </c>
      <c r="AA393" s="133">
        <f>+SUM('12:25'!AA393)</f>
        <v>0</v>
      </c>
      <c r="AB393" s="133">
        <f>+SUM('12:25'!AB393)</f>
        <v>0</v>
      </c>
      <c r="AC393" s="133">
        <f>+SUM('12:25'!AC393)</f>
        <v>0</v>
      </c>
      <c r="AD393" s="1">
        <f t="shared" si="56"/>
        <v>0</v>
      </c>
      <c r="AE393" s="52"/>
      <c r="AF393" s="1">
        <f t="shared" si="57"/>
        <v>0</v>
      </c>
    </row>
    <row r="394" spans="1:32" s="2" customFormat="1" ht="21.95" customHeight="1">
      <c r="A394" s="140">
        <v>300289</v>
      </c>
      <c r="B394" s="135">
        <v>13001</v>
      </c>
      <c r="C394" s="226" t="s">
        <v>165</v>
      </c>
      <c r="D394" s="226"/>
      <c r="E394" s="139" t="s">
        <v>66</v>
      </c>
      <c r="F394" s="141"/>
      <c r="G394" s="133">
        <f>+SUM('12:25'!G394)</f>
        <v>0</v>
      </c>
      <c r="H394" s="133">
        <f>+SUM('12:25'!H394)</f>
        <v>0</v>
      </c>
      <c r="I394" s="133">
        <f>+SUM('12:25'!I394)</f>
        <v>0</v>
      </c>
      <c r="J394" s="133">
        <f>+SUM('12:25'!J394)</f>
        <v>0</v>
      </c>
      <c r="K394" s="149">
        <f t="shared" si="58"/>
        <v>0</v>
      </c>
      <c r="L394" s="149">
        <f t="shared" si="59"/>
        <v>0</v>
      </c>
      <c r="M394" s="137">
        <v>438.7</v>
      </c>
      <c r="N394" s="137">
        <f t="shared" si="65"/>
        <v>5.6417181069958842</v>
      </c>
      <c r="O394" s="133">
        <f>+SUM('12:25'!O394)</f>
        <v>0</v>
      </c>
      <c r="P394" s="137">
        <f t="shared" si="60"/>
        <v>0</v>
      </c>
      <c r="Q394" s="133">
        <f>+SUM('12:25'!Q394)</f>
        <v>0</v>
      </c>
      <c r="R394" s="19">
        <f t="shared" si="61"/>
        <v>0</v>
      </c>
      <c r="S394" s="137">
        <f t="shared" si="62"/>
        <v>0</v>
      </c>
      <c r="T394" s="20">
        <v>5</v>
      </c>
      <c r="U394" s="133">
        <f>+SUM('12:25'!U394)</f>
        <v>0</v>
      </c>
      <c r="V394" s="143" t="str">
        <f t="array" ref="V394">IF(ISERROR(L394/K394),"",L394/K394)</f>
        <v/>
      </c>
      <c r="W394" s="133">
        <f>+SUM('12:25'!W394)</f>
        <v>0</v>
      </c>
      <c r="X394" s="133">
        <f>+SUM('12:25'!X394)</f>
        <v>0</v>
      </c>
      <c r="Y394" s="133">
        <f>+SUM('12:25'!Y394)</f>
        <v>0</v>
      </c>
      <c r="Z394" s="133">
        <f>+SUM('12:25'!Z394)</f>
        <v>0</v>
      </c>
      <c r="AA394" s="133">
        <f>+SUM('12:25'!AA394)</f>
        <v>0</v>
      </c>
      <c r="AB394" s="133">
        <f>+SUM('12:25'!AB394)</f>
        <v>0</v>
      </c>
      <c r="AC394" s="133">
        <f>+SUM('12:25'!AC394)</f>
        <v>0</v>
      </c>
      <c r="AD394" s="1">
        <f t="shared" si="56"/>
        <v>0</v>
      </c>
      <c r="AE394" s="52"/>
      <c r="AF394" s="1">
        <f t="shared" si="57"/>
        <v>0</v>
      </c>
    </row>
    <row r="395" spans="1:32" s="2" customFormat="1" ht="21.95" customHeight="1">
      <c r="A395" s="140">
        <v>300288</v>
      </c>
      <c r="B395" s="135">
        <v>13001</v>
      </c>
      <c r="C395" s="226" t="s">
        <v>165</v>
      </c>
      <c r="D395" s="226"/>
      <c r="E395" s="139" t="s">
        <v>166</v>
      </c>
      <c r="F395" s="141"/>
      <c r="G395" s="133">
        <f>+SUM('12:25'!G395)</f>
        <v>0</v>
      </c>
      <c r="H395" s="133">
        <f>+SUM('12:25'!H395)</f>
        <v>0</v>
      </c>
      <c r="I395" s="133">
        <f>+SUM('12:25'!I395)</f>
        <v>0</v>
      </c>
      <c r="J395" s="133">
        <f>+SUM('12:25'!J395)</f>
        <v>0</v>
      </c>
      <c r="K395" s="137">
        <f t="shared" si="58"/>
        <v>0</v>
      </c>
      <c r="L395" s="137">
        <f t="shared" si="59"/>
        <v>0</v>
      </c>
      <c r="M395" s="137">
        <v>438.7</v>
      </c>
      <c r="N395" s="137">
        <f t="shared" si="65"/>
        <v>5.6417181069958842</v>
      </c>
      <c r="O395" s="133">
        <f>+SUM('12:25'!O395)</f>
        <v>0</v>
      </c>
      <c r="P395" s="137">
        <f t="shared" si="60"/>
        <v>0</v>
      </c>
      <c r="Q395" s="133">
        <f>+SUM('12:25'!Q395)</f>
        <v>0</v>
      </c>
      <c r="R395" s="19">
        <f t="shared" si="61"/>
        <v>0</v>
      </c>
      <c r="S395" s="137">
        <f t="shared" si="62"/>
        <v>0</v>
      </c>
      <c r="T395" s="20">
        <v>5</v>
      </c>
      <c r="U395" s="133">
        <f>+SUM('12:25'!U395)</f>
        <v>0</v>
      </c>
      <c r="V395" s="143" t="str">
        <f t="array" ref="V395">IF(ISERROR(L395/K395),"",L395/K395)</f>
        <v/>
      </c>
      <c r="W395" s="133">
        <f>+SUM('12:25'!W395)</f>
        <v>0</v>
      </c>
      <c r="X395" s="133">
        <f>+SUM('12:25'!X395)</f>
        <v>0</v>
      </c>
      <c r="Y395" s="133">
        <f>+SUM('12:25'!Y395)</f>
        <v>0</v>
      </c>
      <c r="Z395" s="133">
        <f>+SUM('12:25'!Z395)</f>
        <v>0</v>
      </c>
      <c r="AA395" s="133">
        <f>+SUM('12:25'!AA395)</f>
        <v>0</v>
      </c>
      <c r="AB395" s="133">
        <f>+SUM('12:25'!AB395)</f>
        <v>0</v>
      </c>
      <c r="AC395" s="133">
        <f>+SUM('12:25'!AC395)</f>
        <v>0</v>
      </c>
      <c r="AD395" s="1">
        <f t="shared" si="56"/>
        <v>0</v>
      </c>
      <c r="AE395" s="52"/>
      <c r="AF395" s="1">
        <f t="shared" si="57"/>
        <v>0</v>
      </c>
    </row>
    <row r="396" spans="1:32" s="2" customFormat="1" ht="21.95" customHeight="1">
      <c r="A396" s="144">
        <v>300355</v>
      </c>
      <c r="B396" s="124">
        <v>13001</v>
      </c>
      <c r="C396" s="240" t="s">
        <v>168</v>
      </c>
      <c r="D396" s="241"/>
      <c r="E396" s="53" t="s">
        <v>35</v>
      </c>
      <c r="F396" s="141"/>
      <c r="G396" s="133">
        <f>+SUM('12:25'!G396)</f>
        <v>0</v>
      </c>
      <c r="H396" s="133">
        <f>+SUM('12:25'!H396)</f>
        <v>0</v>
      </c>
      <c r="I396" s="133">
        <f>+SUM('12:25'!I396)</f>
        <v>0</v>
      </c>
      <c r="J396" s="133">
        <f>+SUM('12:25'!J396)</f>
        <v>0</v>
      </c>
      <c r="K396" s="149">
        <f t="shared" si="58"/>
        <v>0</v>
      </c>
      <c r="L396" s="137">
        <f t="shared" si="59"/>
        <v>0</v>
      </c>
      <c r="M396" s="137">
        <v>438</v>
      </c>
      <c r="N396" s="137">
        <f>+M396*1000/(110*4*18*60)*T396</f>
        <v>4.6085858585858581</v>
      </c>
      <c r="O396" s="133">
        <f>+SUM('12:25'!O396)</f>
        <v>0</v>
      </c>
      <c r="P396" s="137">
        <f t="shared" si="60"/>
        <v>0</v>
      </c>
      <c r="Q396" s="133">
        <f>+SUM('12:25'!Q396)</f>
        <v>0</v>
      </c>
      <c r="R396" s="19">
        <f t="shared" si="61"/>
        <v>0</v>
      </c>
      <c r="S396" s="137">
        <f t="shared" si="62"/>
        <v>0</v>
      </c>
      <c r="T396" s="20">
        <v>5</v>
      </c>
      <c r="U396" s="133">
        <f>+SUM('12:25'!U396)</f>
        <v>0</v>
      </c>
      <c r="V396" s="143" t="str">
        <f t="array" ref="V396">IF(ISERROR(L396/K396),"",L396/K396)</f>
        <v/>
      </c>
      <c r="W396" s="133">
        <f>+SUM('12:25'!W396)</f>
        <v>0</v>
      </c>
      <c r="X396" s="133">
        <f>+SUM('12:25'!X396)</f>
        <v>0</v>
      </c>
      <c r="Y396" s="133">
        <f>+SUM('12:25'!Y396)</f>
        <v>0</v>
      </c>
      <c r="Z396" s="133">
        <f>+SUM('12:25'!Z396)</f>
        <v>0</v>
      </c>
      <c r="AA396" s="133">
        <f>+SUM('12:25'!AA396)</f>
        <v>0</v>
      </c>
      <c r="AB396" s="133">
        <f>+SUM('12:25'!AB396)</f>
        <v>0</v>
      </c>
      <c r="AC396" s="133">
        <f>+SUM('12:25'!AC396)</f>
        <v>0</v>
      </c>
      <c r="AD396" s="1">
        <f t="shared" si="56"/>
        <v>0</v>
      </c>
      <c r="AE396" s="52">
        <v>244.02</v>
      </c>
      <c r="AF396" s="1">
        <f t="shared" si="57"/>
        <v>0</v>
      </c>
    </row>
    <row r="397" spans="1:32" s="2" customFormat="1" ht="21.95" customHeight="1">
      <c r="A397" s="144">
        <v>300356</v>
      </c>
      <c r="B397" s="124">
        <v>13001</v>
      </c>
      <c r="C397" s="240" t="s">
        <v>168</v>
      </c>
      <c r="D397" s="241"/>
      <c r="E397" s="54" t="s">
        <v>41</v>
      </c>
      <c r="F397" s="141"/>
      <c r="G397" s="133">
        <f>+SUM('12:25'!G397)</f>
        <v>0</v>
      </c>
      <c r="H397" s="133">
        <f>+SUM('12:25'!H397)</f>
        <v>0</v>
      </c>
      <c r="I397" s="133">
        <f>+SUM('12:25'!I397)</f>
        <v>0</v>
      </c>
      <c r="J397" s="133">
        <f>+SUM('12:25'!J397)</f>
        <v>0</v>
      </c>
      <c r="K397" s="149">
        <f t="shared" si="58"/>
        <v>0</v>
      </c>
      <c r="L397" s="137">
        <f t="shared" si="59"/>
        <v>0</v>
      </c>
      <c r="M397" s="137">
        <v>438</v>
      </c>
      <c r="N397" s="137">
        <f>+M397*1000/(110*4*18*60)*T397</f>
        <v>4.6085858585858581</v>
      </c>
      <c r="O397" s="133">
        <f>+SUM('12:25'!O397)</f>
        <v>0</v>
      </c>
      <c r="P397" s="137">
        <f t="shared" si="60"/>
        <v>0</v>
      </c>
      <c r="Q397" s="133">
        <f>+SUM('12:25'!Q397)</f>
        <v>0</v>
      </c>
      <c r="R397" s="19">
        <f t="shared" si="61"/>
        <v>0</v>
      </c>
      <c r="S397" s="137">
        <f t="shared" si="62"/>
        <v>0</v>
      </c>
      <c r="T397" s="20">
        <v>5</v>
      </c>
      <c r="U397" s="133">
        <f>+SUM('12:25'!U397)</f>
        <v>0</v>
      </c>
      <c r="V397" s="143" t="str">
        <f t="array" ref="V397">IF(ISERROR(L397/K397),"",L397/K397)</f>
        <v/>
      </c>
      <c r="W397" s="133">
        <f>+SUM('12:25'!W397)</f>
        <v>0</v>
      </c>
      <c r="X397" s="133">
        <f>+SUM('12:25'!X397)</f>
        <v>0</v>
      </c>
      <c r="Y397" s="133">
        <f>+SUM('12:25'!Y397)</f>
        <v>0</v>
      </c>
      <c r="Z397" s="133">
        <f>+SUM('12:25'!Z397)</f>
        <v>0</v>
      </c>
      <c r="AA397" s="133">
        <f>+SUM('12:25'!AA397)</f>
        <v>0</v>
      </c>
      <c r="AB397" s="133">
        <f>+SUM('12:25'!AB397)</f>
        <v>0</v>
      </c>
      <c r="AC397" s="133">
        <f>+SUM('12:25'!AC397)</f>
        <v>0</v>
      </c>
      <c r="AD397" s="1">
        <f t="shared" si="56"/>
        <v>0</v>
      </c>
      <c r="AE397" s="52">
        <v>244.02</v>
      </c>
      <c r="AF397" s="1">
        <f t="shared" si="57"/>
        <v>0</v>
      </c>
    </row>
    <row r="398" spans="1:32" ht="21.95" customHeight="1">
      <c r="A398" s="144">
        <v>300357</v>
      </c>
      <c r="B398" s="135" t="s">
        <v>170</v>
      </c>
      <c r="C398" s="237" t="s">
        <v>168</v>
      </c>
      <c r="D398" s="238"/>
      <c r="E398" s="136" t="s">
        <v>37</v>
      </c>
      <c r="F398" s="13"/>
      <c r="G398" s="133">
        <f>+SUM('12:25'!G398)</f>
        <v>0</v>
      </c>
      <c r="H398" s="133">
        <f>+SUM('12:25'!H398)</f>
        <v>0</v>
      </c>
      <c r="I398" s="133">
        <f>+SUM('12:25'!I398)</f>
        <v>0</v>
      </c>
      <c r="J398" s="133">
        <f>+SUM('12:25'!J398)</f>
        <v>0</v>
      </c>
      <c r="K398" s="149">
        <f t="shared" si="58"/>
        <v>0</v>
      </c>
      <c r="L398" s="137">
        <f t="shared" si="59"/>
        <v>0</v>
      </c>
      <c r="M398" s="137">
        <v>438</v>
      </c>
      <c r="N398" s="15">
        <f>+M398*1000/(110*4*18*60)*T398</f>
        <v>4.6085858585858581</v>
      </c>
      <c r="O398" s="133">
        <f>+SUM('12:25'!O398)</f>
        <v>0</v>
      </c>
      <c r="P398" s="137">
        <f t="shared" si="60"/>
        <v>0</v>
      </c>
      <c r="Q398" s="133">
        <f>+SUM('12:25'!Q398)</f>
        <v>0</v>
      </c>
      <c r="R398" s="19">
        <f t="shared" si="61"/>
        <v>0</v>
      </c>
      <c r="S398" s="137">
        <f t="shared" si="62"/>
        <v>0</v>
      </c>
      <c r="T398" s="20">
        <v>5</v>
      </c>
      <c r="U398" s="133">
        <f>+SUM('12:25'!U398)</f>
        <v>0</v>
      </c>
      <c r="V398" s="143" t="str">
        <f t="array" ref="V398">IF(ISERROR(L398/K398),"",L398/K398)</f>
        <v/>
      </c>
      <c r="W398" s="133">
        <f>+SUM('12:25'!W398)</f>
        <v>0</v>
      </c>
      <c r="X398" s="133">
        <f>+SUM('12:25'!X398)</f>
        <v>0</v>
      </c>
      <c r="Y398" s="133">
        <f>+SUM('12:25'!Y398)</f>
        <v>0</v>
      </c>
      <c r="Z398" s="133">
        <f>+SUM('12:25'!Z398)</f>
        <v>0</v>
      </c>
      <c r="AA398" s="133">
        <f>+SUM('12:25'!AA398)</f>
        <v>0</v>
      </c>
      <c r="AB398" s="133">
        <f>+SUM('12:25'!AB398)</f>
        <v>0</v>
      </c>
      <c r="AC398" s="133">
        <f>+SUM('12:25'!AC398)</f>
        <v>0</v>
      </c>
      <c r="AD398" s="1">
        <f t="shared" si="56"/>
        <v>0</v>
      </c>
      <c r="AE398" s="1">
        <v>244.02</v>
      </c>
      <c r="AF398" s="1">
        <f t="shared" si="57"/>
        <v>0</v>
      </c>
    </row>
    <row r="399" spans="1:32" ht="21.95" customHeight="1">
      <c r="A399" s="144">
        <v>300358</v>
      </c>
      <c r="B399" s="135" t="s">
        <v>171</v>
      </c>
      <c r="C399" s="237" t="s">
        <v>168</v>
      </c>
      <c r="D399" s="238"/>
      <c r="E399" s="136" t="s">
        <v>66</v>
      </c>
      <c r="F399" s="13"/>
      <c r="G399" s="133">
        <f>+SUM('12:25'!G399)</f>
        <v>0</v>
      </c>
      <c r="H399" s="133">
        <f>+SUM('12:25'!H399)</f>
        <v>0</v>
      </c>
      <c r="I399" s="133">
        <f>+SUM('12:25'!I399)</f>
        <v>0</v>
      </c>
      <c r="J399" s="133">
        <f>+SUM('12:25'!J399)</f>
        <v>0</v>
      </c>
      <c r="K399" s="149">
        <f t="shared" si="58"/>
        <v>0</v>
      </c>
      <c r="L399" s="137">
        <f t="shared" si="59"/>
        <v>0</v>
      </c>
      <c r="M399" s="137">
        <v>438</v>
      </c>
      <c r="N399" s="15">
        <f>+M399*1000/(110*4*18*60)*T399</f>
        <v>4.6085858585858581</v>
      </c>
      <c r="O399" s="133">
        <f>+SUM('12:25'!O399)</f>
        <v>0</v>
      </c>
      <c r="P399" s="137">
        <f t="shared" si="60"/>
        <v>0</v>
      </c>
      <c r="Q399" s="133">
        <f>+SUM('12:25'!Q399)</f>
        <v>0</v>
      </c>
      <c r="R399" s="19">
        <f t="shared" si="61"/>
        <v>0</v>
      </c>
      <c r="S399" s="137">
        <f t="shared" si="62"/>
        <v>0</v>
      </c>
      <c r="T399" s="20">
        <v>5</v>
      </c>
      <c r="U399" s="133">
        <f>+SUM('12:25'!U399)</f>
        <v>0</v>
      </c>
      <c r="V399" s="143" t="str">
        <f t="array" ref="V399">IF(ISERROR(L399/K399),"",L399/K399)</f>
        <v/>
      </c>
      <c r="W399" s="133">
        <f>+SUM('12:25'!W399)</f>
        <v>0</v>
      </c>
      <c r="X399" s="133">
        <f>+SUM('12:25'!X399)</f>
        <v>0</v>
      </c>
      <c r="Y399" s="133">
        <f>+SUM('12:25'!Y399)</f>
        <v>0</v>
      </c>
      <c r="Z399" s="133">
        <f>+SUM('12:25'!Z399)</f>
        <v>0</v>
      </c>
      <c r="AA399" s="133">
        <f>+SUM('12:25'!AA399)</f>
        <v>0</v>
      </c>
      <c r="AB399" s="133">
        <f>+SUM('12:25'!AB399)</f>
        <v>0</v>
      </c>
      <c r="AC399" s="133">
        <f>+SUM('12:25'!AC399)</f>
        <v>0</v>
      </c>
      <c r="AD399" s="1">
        <f t="shared" si="56"/>
        <v>0</v>
      </c>
      <c r="AE399" s="1">
        <v>244.02</v>
      </c>
      <c r="AF399" s="1">
        <f t="shared" si="57"/>
        <v>0</v>
      </c>
    </row>
    <row r="400" spans="1:32" ht="21.95" customHeight="1">
      <c r="A400" s="140">
        <v>300438</v>
      </c>
      <c r="B400" s="135" t="s">
        <v>87</v>
      </c>
      <c r="C400" s="226" t="s">
        <v>312</v>
      </c>
      <c r="D400" s="226" t="s">
        <v>89</v>
      </c>
      <c r="E400" s="139" t="s">
        <v>35</v>
      </c>
      <c r="F400" s="13"/>
      <c r="G400" s="133">
        <f>+SUM('12:25'!G400)</f>
        <v>0</v>
      </c>
      <c r="H400" s="133">
        <f>+SUM('12:25'!H400)</f>
        <v>0</v>
      </c>
      <c r="I400" s="133">
        <f>+SUM('12:25'!I400)</f>
        <v>0</v>
      </c>
      <c r="J400" s="133">
        <f>+SUM('12:25'!J400)</f>
        <v>0</v>
      </c>
      <c r="K400" s="137">
        <f>G400*M400</f>
        <v>0</v>
      </c>
      <c r="L400" s="137">
        <f>I400*M400</f>
        <v>0</v>
      </c>
      <c r="M400" s="137">
        <v>336.6</v>
      </c>
      <c r="N400" s="137">
        <f>+M400*1000/(45*10*18*60)*T400</f>
        <v>1.3851851851851851</v>
      </c>
      <c r="O400" s="133">
        <f>+SUM('12:25'!O400)</f>
        <v>0</v>
      </c>
      <c r="P400" s="137">
        <f>N400*I400+O400*U400</f>
        <v>0</v>
      </c>
      <c r="Q400" s="133">
        <f>+SUM('12:25'!Q400)</f>
        <v>0</v>
      </c>
      <c r="R400" s="19">
        <f>Q400*U400</f>
        <v>0</v>
      </c>
      <c r="S400" s="137">
        <f>R400-P400</f>
        <v>0</v>
      </c>
      <c r="T400" s="20">
        <v>2</v>
      </c>
      <c r="U400" s="133">
        <f>+SUM('12:25'!U400)</f>
        <v>0</v>
      </c>
      <c r="V400" s="143"/>
      <c r="W400" s="133">
        <f>+SUM('12:25'!W400)</f>
        <v>0</v>
      </c>
      <c r="X400" s="133">
        <f>+SUM('12:25'!X400)</f>
        <v>0</v>
      </c>
      <c r="Y400" s="133">
        <f>+SUM('12:25'!Y400)</f>
        <v>0</v>
      </c>
      <c r="Z400" s="133">
        <f>+SUM('12:25'!Z400)</f>
        <v>0</v>
      </c>
      <c r="AA400" s="133">
        <f>+SUM('12:25'!AA400)</f>
        <v>0</v>
      </c>
      <c r="AB400" s="133">
        <f>+SUM('12:25'!AB400)</f>
        <v>0</v>
      </c>
      <c r="AC400" s="133">
        <f>+SUM('12:25'!AC400)</f>
        <v>0</v>
      </c>
      <c r="AD400" s="1">
        <f t="shared" si="56"/>
        <v>0</v>
      </c>
      <c r="AE400" s="1">
        <v>189.93</v>
      </c>
      <c r="AF400" s="1">
        <f t="shared" si="57"/>
        <v>0</v>
      </c>
    </row>
    <row r="401" spans="1:32" ht="21.95" customHeight="1">
      <c r="A401" s="140">
        <v>300439</v>
      </c>
      <c r="B401" s="135" t="s">
        <v>87</v>
      </c>
      <c r="C401" s="226" t="s">
        <v>312</v>
      </c>
      <c r="D401" s="226" t="s">
        <v>89</v>
      </c>
      <c r="E401" s="139" t="s">
        <v>66</v>
      </c>
      <c r="F401" s="13"/>
      <c r="G401" s="133">
        <f>+SUM('12:25'!G401)</f>
        <v>0</v>
      </c>
      <c r="H401" s="133">
        <f>+SUM('12:25'!H401)</f>
        <v>0</v>
      </c>
      <c r="I401" s="133">
        <f>+SUM('12:25'!I401)</f>
        <v>0</v>
      </c>
      <c r="J401" s="133">
        <f>+SUM('12:25'!J401)</f>
        <v>0</v>
      </c>
      <c r="K401" s="137">
        <f>G401*M401</f>
        <v>0</v>
      </c>
      <c r="L401" s="137">
        <f>I401*M401</f>
        <v>0</v>
      </c>
      <c r="M401" s="137">
        <v>336.6</v>
      </c>
      <c r="N401" s="137">
        <f>+M401*1000/(45*10*18*60)*T401</f>
        <v>1.3851851851851851</v>
      </c>
      <c r="O401" s="133">
        <f>+SUM('12:25'!O401)</f>
        <v>0</v>
      </c>
      <c r="P401" s="137">
        <f>N401*I401+O401*U401</f>
        <v>0</v>
      </c>
      <c r="Q401" s="133">
        <f>+SUM('12:25'!Q401)</f>
        <v>0</v>
      </c>
      <c r="R401" s="19">
        <f>Q401*U401</f>
        <v>0</v>
      </c>
      <c r="S401" s="137">
        <f>R401-P401</f>
        <v>0</v>
      </c>
      <c r="T401" s="20">
        <v>2</v>
      </c>
      <c r="U401" s="133">
        <f>+SUM('12:25'!U401)</f>
        <v>0</v>
      </c>
      <c r="V401" s="143"/>
      <c r="W401" s="133">
        <f>+SUM('12:25'!W401)</f>
        <v>0</v>
      </c>
      <c r="X401" s="133">
        <f>+SUM('12:25'!X401)</f>
        <v>0</v>
      </c>
      <c r="Y401" s="133">
        <f>+SUM('12:25'!Y401)</f>
        <v>0</v>
      </c>
      <c r="Z401" s="133">
        <f>+SUM('12:25'!Z401)</f>
        <v>0</v>
      </c>
      <c r="AA401" s="133">
        <f>+SUM('12:25'!AA401)</f>
        <v>0</v>
      </c>
      <c r="AB401" s="133">
        <f>+SUM('12:25'!AB401)</f>
        <v>0</v>
      </c>
      <c r="AC401" s="133">
        <f>+SUM('12:25'!AC401)</f>
        <v>0</v>
      </c>
      <c r="AD401" s="1">
        <f t="shared" si="56"/>
        <v>0</v>
      </c>
      <c r="AE401" s="1">
        <v>189.93</v>
      </c>
      <c r="AF401" s="1">
        <f t="shared" si="57"/>
        <v>0</v>
      </c>
    </row>
    <row r="402" spans="1:32" ht="21.95" customHeight="1">
      <c r="A402" s="140">
        <v>300440</v>
      </c>
      <c r="B402" s="135" t="s">
        <v>87</v>
      </c>
      <c r="C402" s="226" t="s">
        <v>312</v>
      </c>
      <c r="D402" s="226" t="s">
        <v>89</v>
      </c>
      <c r="E402" s="139" t="s">
        <v>41</v>
      </c>
      <c r="F402" s="13"/>
      <c r="G402" s="133">
        <f>+SUM('12:25'!G402)</f>
        <v>0</v>
      </c>
      <c r="H402" s="133">
        <f>+SUM('12:25'!H402)</f>
        <v>0</v>
      </c>
      <c r="I402" s="133">
        <f>+SUM('12:25'!I402)</f>
        <v>0</v>
      </c>
      <c r="J402" s="133">
        <f>+SUM('12:25'!J402)</f>
        <v>0</v>
      </c>
      <c r="K402" s="137">
        <f>G402*M402</f>
        <v>0</v>
      </c>
      <c r="L402" s="137">
        <f>I402*M402</f>
        <v>0</v>
      </c>
      <c r="M402" s="137">
        <v>336.6</v>
      </c>
      <c r="N402" s="137">
        <f>+M402*1000/(45*10*18*60)*T402</f>
        <v>1.3851851851851851</v>
      </c>
      <c r="O402" s="133">
        <f>+SUM('12:25'!O402)</f>
        <v>0</v>
      </c>
      <c r="P402" s="137">
        <f>N402*I402+O402*U402</f>
        <v>0</v>
      </c>
      <c r="Q402" s="133">
        <f>+SUM('12:25'!Q402)</f>
        <v>0</v>
      </c>
      <c r="R402" s="19">
        <f>Q402*U402</f>
        <v>0</v>
      </c>
      <c r="S402" s="137">
        <f>R402-P402</f>
        <v>0</v>
      </c>
      <c r="T402" s="20">
        <v>2</v>
      </c>
      <c r="U402" s="133">
        <f>+SUM('12:25'!U402)</f>
        <v>0</v>
      </c>
      <c r="V402" s="143"/>
      <c r="W402" s="133">
        <f>+SUM('12:25'!W402)</f>
        <v>0</v>
      </c>
      <c r="X402" s="133">
        <f>+SUM('12:25'!X402)</f>
        <v>0</v>
      </c>
      <c r="Y402" s="133">
        <f>+SUM('12:25'!Y402)</f>
        <v>0</v>
      </c>
      <c r="Z402" s="133">
        <f>+SUM('12:25'!Z402)</f>
        <v>0</v>
      </c>
      <c r="AA402" s="133">
        <f>+SUM('12:25'!AA402)</f>
        <v>0</v>
      </c>
      <c r="AB402" s="133">
        <f>+SUM('12:25'!AB402)</f>
        <v>0</v>
      </c>
      <c r="AC402" s="133">
        <f>+SUM('12:25'!AC402)</f>
        <v>0</v>
      </c>
      <c r="AD402" s="1">
        <f t="shared" si="56"/>
        <v>0</v>
      </c>
      <c r="AE402" s="1">
        <v>189.93</v>
      </c>
      <c r="AF402" s="1">
        <f t="shared" si="57"/>
        <v>0</v>
      </c>
    </row>
    <row r="403" spans="1:32" ht="21.95" customHeight="1">
      <c r="A403" s="140">
        <v>300441</v>
      </c>
      <c r="B403" s="135" t="s">
        <v>87</v>
      </c>
      <c r="C403" s="226" t="s">
        <v>312</v>
      </c>
      <c r="D403" s="226" t="s">
        <v>89</v>
      </c>
      <c r="E403" s="139" t="s">
        <v>37</v>
      </c>
      <c r="F403" s="13"/>
      <c r="G403" s="133">
        <f>+SUM('12:25'!G403)</f>
        <v>0</v>
      </c>
      <c r="H403" s="133">
        <f>+SUM('12:25'!H403)</f>
        <v>0</v>
      </c>
      <c r="I403" s="133">
        <f>+SUM('12:25'!I403)</f>
        <v>0</v>
      </c>
      <c r="J403" s="133">
        <f>+SUM('12:25'!J403)</f>
        <v>0</v>
      </c>
      <c r="K403" s="137">
        <f>G403*M403</f>
        <v>0</v>
      </c>
      <c r="L403" s="137">
        <f>I403*M403</f>
        <v>0</v>
      </c>
      <c r="M403" s="137">
        <v>336.6</v>
      </c>
      <c r="N403" s="137">
        <f>+M403*1000/(45*10*18*60)*T403</f>
        <v>1.3851851851851851</v>
      </c>
      <c r="O403" s="133">
        <f>+SUM('12:25'!O403)</f>
        <v>0</v>
      </c>
      <c r="P403" s="137">
        <f>N403*I403+O403*U403</f>
        <v>0</v>
      </c>
      <c r="Q403" s="133">
        <f>+SUM('12:25'!Q403)</f>
        <v>0</v>
      </c>
      <c r="R403" s="19">
        <f>Q403*U403</f>
        <v>0</v>
      </c>
      <c r="S403" s="137">
        <f>R403-P403</f>
        <v>0</v>
      </c>
      <c r="T403" s="20">
        <v>2</v>
      </c>
      <c r="U403" s="133">
        <f>+SUM('12:25'!U403)</f>
        <v>0</v>
      </c>
      <c r="V403" s="143"/>
      <c r="W403" s="133">
        <f>+SUM('12:25'!W403)</f>
        <v>0</v>
      </c>
      <c r="X403" s="133">
        <f>+SUM('12:25'!X403)</f>
        <v>0</v>
      </c>
      <c r="Y403" s="133">
        <f>+SUM('12:25'!Y403)</f>
        <v>0</v>
      </c>
      <c r="Z403" s="133">
        <f>+SUM('12:25'!Z403)</f>
        <v>0</v>
      </c>
      <c r="AA403" s="133">
        <f>+SUM('12:25'!AA403)</f>
        <v>0</v>
      </c>
      <c r="AB403" s="133">
        <f>+SUM('12:25'!AB403)</f>
        <v>0</v>
      </c>
      <c r="AC403" s="133">
        <f>+SUM('12:25'!AC403)</f>
        <v>0</v>
      </c>
      <c r="AD403" s="1">
        <f t="shared" si="56"/>
        <v>0</v>
      </c>
      <c r="AE403" s="1">
        <v>189.93</v>
      </c>
      <c r="AF403" s="1">
        <f t="shared" si="57"/>
        <v>0</v>
      </c>
    </row>
    <row r="404" spans="1:32" s="2" customFormat="1" ht="22.5" customHeight="1">
      <c r="A404" s="144">
        <v>300406</v>
      </c>
      <c r="B404" s="135" t="s">
        <v>171</v>
      </c>
      <c r="C404" s="237" t="s">
        <v>172</v>
      </c>
      <c r="D404" s="238"/>
      <c r="E404" s="136" t="s">
        <v>149</v>
      </c>
      <c r="F404" s="27"/>
      <c r="G404" s="133">
        <f>+SUM('12:25'!G404)</f>
        <v>0</v>
      </c>
      <c r="H404" s="133">
        <f>+SUM('12:25'!H404)</f>
        <v>0</v>
      </c>
      <c r="I404" s="133">
        <f>+SUM('12:25'!I404)</f>
        <v>0</v>
      </c>
      <c r="J404" s="133">
        <f>+SUM('12:25'!J404)</f>
        <v>0</v>
      </c>
      <c r="K404" s="149">
        <f t="shared" ref="K404:K407" si="66">G404*M404</f>
        <v>0</v>
      </c>
      <c r="L404" s="137">
        <f t="shared" ref="L404:L407" si="67">I404*M404</f>
        <v>0</v>
      </c>
      <c r="M404" s="137">
        <v>628.29999999999995</v>
      </c>
      <c r="N404" s="15">
        <f>+M404*1000/(132*4*18*60)*T404</f>
        <v>5.5090838945005611</v>
      </c>
      <c r="O404" s="133">
        <f>+SUM('12:25'!O404)</f>
        <v>0</v>
      </c>
      <c r="P404" s="137">
        <f t="shared" ref="P404:P407" si="68">N404*I404+O404*U404</f>
        <v>0</v>
      </c>
      <c r="Q404" s="133">
        <f>+SUM('12:25'!Q404)</f>
        <v>0</v>
      </c>
      <c r="R404" s="19">
        <f t="shared" ref="R404:R407" si="69">Q404*U404</f>
        <v>0</v>
      </c>
      <c r="S404" s="137">
        <f t="shared" ref="S404:S407" si="70">R404-P404</f>
        <v>0</v>
      </c>
      <c r="T404" s="20">
        <v>5</v>
      </c>
      <c r="U404" s="133">
        <f>+SUM('12:25'!U404)</f>
        <v>0</v>
      </c>
      <c r="V404" s="143" t="str">
        <f t="array" ref="V404">IF(ISERROR(L404/K404),"",L404/K404)</f>
        <v/>
      </c>
      <c r="W404" s="133">
        <f>+SUM('12:25'!W404)</f>
        <v>0</v>
      </c>
      <c r="X404" s="133">
        <f>+SUM('12:25'!X404)</f>
        <v>0</v>
      </c>
      <c r="Y404" s="133">
        <f>+SUM('12:25'!Y404)</f>
        <v>0</v>
      </c>
      <c r="Z404" s="133">
        <f>+SUM('12:25'!Z404)</f>
        <v>0</v>
      </c>
      <c r="AA404" s="133">
        <f>+SUM('12:25'!AA404)</f>
        <v>0</v>
      </c>
      <c r="AB404" s="133">
        <f>+SUM('12:25'!AB404)</f>
        <v>0</v>
      </c>
      <c r="AC404" s="133">
        <f>+SUM('12:25'!AC404)</f>
        <v>0</v>
      </c>
      <c r="AD404" s="1">
        <f t="shared" si="56"/>
        <v>0</v>
      </c>
      <c r="AE404" s="52">
        <v>184.86</v>
      </c>
      <c r="AF404" s="1">
        <f t="shared" si="57"/>
        <v>0</v>
      </c>
    </row>
    <row r="405" spans="1:32" s="2" customFormat="1" ht="22.5" customHeight="1">
      <c r="A405" s="144">
        <v>300407</v>
      </c>
      <c r="B405" s="135" t="s">
        <v>171</v>
      </c>
      <c r="C405" s="237" t="s">
        <v>172</v>
      </c>
      <c r="D405" s="238"/>
      <c r="E405" s="136" t="s">
        <v>173</v>
      </c>
      <c r="F405" s="27"/>
      <c r="G405" s="133">
        <f>+SUM('12:25'!G405)</f>
        <v>0</v>
      </c>
      <c r="H405" s="133">
        <f>+SUM('12:25'!H405)</f>
        <v>0</v>
      </c>
      <c r="I405" s="133">
        <f>+SUM('12:25'!I405)</f>
        <v>0</v>
      </c>
      <c r="J405" s="133">
        <f>+SUM('12:25'!J405)</f>
        <v>0</v>
      </c>
      <c r="K405" s="149">
        <f t="shared" si="66"/>
        <v>0</v>
      </c>
      <c r="L405" s="137">
        <f t="shared" si="67"/>
        <v>0</v>
      </c>
      <c r="M405" s="137">
        <v>628.29999999999995</v>
      </c>
      <c r="N405" s="15">
        <f>+M405*1000/(132*4*18*60)*T405</f>
        <v>5.5090838945005611</v>
      </c>
      <c r="O405" s="133">
        <f>+SUM('12:25'!O405)</f>
        <v>0</v>
      </c>
      <c r="P405" s="137">
        <f t="shared" si="68"/>
        <v>0</v>
      </c>
      <c r="Q405" s="133">
        <f>+SUM('12:25'!Q405)</f>
        <v>0</v>
      </c>
      <c r="R405" s="19">
        <f t="shared" si="69"/>
        <v>0</v>
      </c>
      <c r="S405" s="137">
        <f t="shared" si="70"/>
        <v>0</v>
      </c>
      <c r="T405" s="20">
        <v>5</v>
      </c>
      <c r="U405" s="133">
        <f>+SUM('12:25'!U405)</f>
        <v>0</v>
      </c>
      <c r="V405" s="143" t="str">
        <f t="array" ref="V405">IF(ISERROR(L405/K405),"",L405/K405)</f>
        <v/>
      </c>
      <c r="W405" s="133">
        <f>+SUM('12:25'!W405)</f>
        <v>0</v>
      </c>
      <c r="X405" s="133">
        <f>+SUM('12:25'!X405)</f>
        <v>0</v>
      </c>
      <c r="Y405" s="133">
        <f>+SUM('12:25'!Y405)</f>
        <v>0</v>
      </c>
      <c r="Z405" s="133">
        <f>+SUM('12:25'!Z405)</f>
        <v>0</v>
      </c>
      <c r="AA405" s="133">
        <f>+SUM('12:25'!AA405)</f>
        <v>0</v>
      </c>
      <c r="AB405" s="133">
        <f>+SUM('12:25'!AB405)</f>
        <v>0</v>
      </c>
      <c r="AC405" s="133">
        <f>+SUM('12:25'!AC405)</f>
        <v>0</v>
      </c>
      <c r="AD405" s="1">
        <f t="shared" si="56"/>
        <v>0</v>
      </c>
      <c r="AE405" s="52">
        <v>184.86</v>
      </c>
      <c r="AF405" s="1">
        <f t="shared" si="57"/>
        <v>0</v>
      </c>
    </row>
    <row r="406" spans="1:32" s="2" customFormat="1" ht="22.5" customHeight="1">
      <c r="A406" s="144">
        <v>300408</v>
      </c>
      <c r="B406" s="135" t="s">
        <v>171</v>
      </c>
      <c r="C406" s="237" t="s">
        <v>172</v>
      </c>
      <c r="D406" s="238"/>
      <c r="E406" s="136" t="s">
        <v>41</v>
      </c>
      <c r="F406" s="27"/>
      <c r="G406" s="133">
        <f>+SUM('12:25'!G406)</f>
        <v>0</v>
      </c>
      <c r="H406" s="133">
        <f>+SUM('12:25'!H406)</f>
        <v>0</v>
      </c>
      <c r="I406" s="133">
        <f>+SUM('12:25'!I406)</f>
        <v>0</v>
      </c>
      <c r="J406" s="133">
        <f>+SUM('12:25'!J406)</f>
        <v>0</v>
      </c>
      <c r="K406" s="149">
        <f t="shared" si="66"/>
        <v>0</v>
      </c>
      <c r="L406" s="137">
        <f t="shared" si="67"/>
        <v>0</v>
      </c>
      <c r="M406" s="137">
        <v>628.29999999999995</v>
      </c>
      <c r="N406" s="15">
        <f>+M406*1000/(132*4*18*60)*T406</f>
        <v>5.5090838945005611</v>
      </c>
      <c r="O406" s="133">
        <f>+SUM('12:25'!O406)</f>
        <v>0</v>
      </c>
      <c r="P406" s="137">
        <f t="shared" si="68"/>
        <v>0</v>
      </c>
      <c r="Q406" s="133">
        <f>+SUM('12:25'!Q406)</f>
        <v>0</v>
      </c>
      <c r="R406" s="19">
        <f t="shared" si="69"/>
        <v>0</v>
      </c>
      <c r="S406" s="137">
        <f t="shared" si="70"/>
        <v>0</v>
      </c>
      <c r="T406" s="20">
        <v>5</v>
      </c>
      <c r="U406" s="133">
        <f>+SUM('12:25'!U406)</f>
        <v>0</v>
      </c>
      <c r="V406" s="143" t="str">
        <f t="array" ref="V406">IF(ISERROR(L406/K406),"",L406/K406)</f>
        <v/>
      </c>
      <c r="W406" s="133">
        <f>+SUM('12:25'!W406)</f>
        <v>0</v>
      </c>
      <c r="X406" s="133">
        <f>+SUM('12:25'!X406)</f>
        <v>0</v>
      </c>
      <c r="Y406" s="133">
        <f>+SUM('12:25'!Y406)</f>
        <v>0</v>
      </c>
      <c r="Z406" s="133">
        <f>+SUM('12:25'!Z406)</f>
        <v>0</v>
      </c>
      <c r="AA406" s="133">
        <f>+SUM('12:25'!AA406)</f>
        <v>0</v>
      </c>
      <c r="AB406" s="133">
        <f>+SUM('12:25'!AB406)</f>
        <v>0</v>
      </c>
      <c r="AC406" s="133">
        <f>+SUM('12:25'!AC406)</f>
        <v>0</v>
      </c>
      <c r="AD406" s="1">
        <f t="shared" si="56"/>
        <v>0</v>
      </c>
      <c r="AE406" s="52">
        <v>184.86</v>
      </c>
      <c r="AF406" s="1">
        <f t="shared" si="57"/>
        <v>0</v>
      </c>
    </row>
    <row r="407" spans="1:32" s="2" customFormat="1" ht="22.5" customHeight="1">
      <c r="A407" s="144">
        <v>300409</v>
      </c>
      <c r="B407" s="135" t="s">
        <v>171</v>
      </c>
      <c r="C407" s="237" t="s">
        <v>172</v>
      </c>
      <c r="D407" s="238"/>
      <c r="E407" s="136" t="s">
        <v>174</v>
      </c>
      <c r="F407" s="27"/>
      <c r="G407" s="133">
        <f>+SUM('12:25'!G407)</f>
        <v>0</v>
      </c>
      <c r="H407" s="133">
        <f>+SUM('12:25'!H407)</f>
        <v>0</v>
      </c>
      <c r="I407" s="133">
        <f>+SUM('12:25'!I407)</f>
        <v>0</v>
      </c>
      <c r="J407" s="133">
        <f>+SUM('12:25'!J407)</f>
        <v>0</v>
      </c>
      <c r="K407" s="149">
        <f t="shared" si="66"/>
        <v>0</v>
      </c>
      <c r="L407" s="137">
        <f t="shared" si="67"/>
        <v>0</v>
      </c>
      <c r="M407" s="137">
        <v>628.29999999999995</v>
      </c>
      <c r="N407" s="15">
        <f>+M407*1000/(132*4*18*60)*T407</f>
        <v>5.5090838945005611</v>
      </c>
      <c r="O407" s="133">
        <f>+SUM('12:25'!O407)</f>
        <v>0</v>
      </c>
      <c r="P407" s="137">
        <f t="shared" si="68"/>
        <v>0</v>
      </c>
      <c r="Q407" s="133">
        <f>+SUM('12:25'!Q407)</f>
        <v>0</v>
      </c>
      <c r="R407" s="19">
        <f t="shared" si="69"/>
        <v>0</v>
      </c>
      <c r="S407" s="137">
        <f t="shared" si="70"/>
        <v>0</v>
      </c>
      <c r="T407" s="20">
        <v>5</v>
      </c>
      <c r="U407" s="133">
        <f>+SUM('12:25'!U407)</f>
        <v>0</v>
      </c>
      <c r="V407" s="143" t="str">
        <f t="array" ref="V407">IF(ISERROR(L407/K407),"",L407/K407)</f>
        <v/>
      </c>
      <c r="W407" s="133">
        <f>+SUM('12:25'!W407)</f>
        <v>0</v>
      </c>
      <c r="X407" s="133">
        <f>+SUM('12:25'!X407)</f>
        <v>0</v>
      </c>
      <c r="Y407" s="133">
        <f>+SUM('12:25'!Y407)</f>
        <v>0</v>
      </c>
      <c r="Z407" s="133">
        <f>+SUM('12:25'!Z407)</f>
        <v>0</v>
      </c>
      <c r="AA407" s="133">
        <f>+SUM('12:25'!AA407)</f>
        <v>0</v>
      </c>
      <c r="AB407" s="133">
        <f>+SUM('12:25'!AB407)</f>
        <v>0</v>
      </c>
      <c r="AC407" s="133">
        <f>+SUM('12:25'!AC407)</f>
        <v>0</v>
      </c>
      <c r="AD407" s="1">
        <f t="shared" si="56"/>
        <v>0</v>
      </c>
      <c r="AE407" s="52">
        <v>184.86</v>
      </c>
      <c r="AF407" s="1">
        <f t="shared" si="57"/>
        <v>0</v>
      </c>
    </row>
    <row r="408" spans="1:32" ht="21.95" customHeight="1">
      <c r="A408" s="254" t="s">
        <v>175</v>
      </c>
      <c r="B408" s="255"/>
      <c r="C408" s="255"/>
      <c r="D408" s="255"/>
      <c r="E408" s="255"/>
      <c r="F408" s="256"/>
      <c r="G408" s="137">
        <f t="array" ref="G408">SUM(IF(ISERROR(G215:G407),“”,G215:G407))</f>
        <v>90.290714285714287</v>
      </c>
      <c r="H408" s="137">
        <f t="array" ref="H408">SUM(IF(ISERROR(H215:H407),“”,H215:H407))</f>
        <v>2.7907142857142859</v>
      </c>
      <c r="I408" s="137">
        <f t="array" ref="I408">SUM(IF(ISERROR(I215:I407),“”,I215:I407))</f>
        <v>88.849285714285728</v>
      </c>
      <c r="J408" s="137">
        <f t="array" ref="J408">SUM(IF(ISERROR(J215:J407),“”,J215:J407))</f>
        <v>860</v>
      </c>
      <c r="K408" s="133">
        <f>+SUM('12:25'!K408)</f>
        <v>43556.094400000002</v>
      </c>
      <c r="L408" s="133">
        <f>+SUM('12:25'!L408)</f>
        <v>42871.451828571429</v>
      </c>
      <c r="M408" s="137"/>
      <c r="N408" s="137"/>
      <c r="O408" s="137">
        <f t="array" ref="O408">SUM(IF(ISERROR(O215:O407),“”,O215:O407))</f>
        <v>7</v>
      </c>
      <c r="P408" s="56">
        <f>SUM((P215:P399),(W413:X418))</f>
        <v>690.57303778970982</v>
      </c>
      <c r="Q408" s="137"/>
      <c r="R408" s="56">
        <f>SUM((R215:R399),(Y413:Z418))</f>
        <v>636.5</v>
      </c>
      <c r="S408" s="137">
        <f t="array" ref="S408">SUM(IF(ISERROR(S215:S407),“”,S215:S407))</f>
        <v>-7.3037789709870182E-2</v>
      </c>
      <c r="T408" s="137"/>
      <c r="U408" s="137"/>
      <c r="V408" s="143">
        <f t="array" ref="V408">IF(ISERROR(L408/K408),"",L408/K408)</f>
        <v>0.98428135991392807</v>
      </c>
      <c r="W408" s="137">
        <f t="array" ref="W408">SUM(IF(ISERROR(W215:W407),“”,W215:W407))</f>
        <v>0</v>
      </c>
      <c r="X408" s="137">
        <f t="array" ref="X408">SUM(IF(ISERROR(X215:X407),“”,X215:X407))</f>
        <v>0</v>
      </c>
      <c r="Y408" s="137">
        <f t="array" ref="Y408">SUM(IF(ISERROR(Y215:Y407),“”,Y215:Y407))</f>
        <v>0</v>
      </c>
      <c r="Z408" s="137">
        <f t="array" ref="Z408">SUM(IF(ISERROR(Z215:Z407),“”,Z215:Z407))</f>
        <v>0</v>
      </c>
      <c r="AA408" s="137">
        <f t="array" ref="AA408">SUM(IF(ISERROR(AA215:AA407),“”,AA215:AA407))</f>
        <v>41</v>
      </c>
      <c r="AB408" s="137">
        <f t="array" ref="AB408">SUM(IF(ISERROR(AB215:AB407),“”,AB215:AB407))</f>
        <v>0</v>
      </c>
      <c r="AC408" s="137">
        <f t="array" ref="AC408">SUM(IF(ISERROR(AC215:AC407),“”,AC215:AC407))</f>
        <v>0</v>
      </c>
      <c r="AD408" s="1">
        <f>SUM(AD215:AD407)</f>
        <v>42.871451828571431</v>
      </c>
      <c r="AF408" s="1">
        <f>SUM(AF215:AF407)</f>
        <v>7669.3084785262854</v>
      </c>
    </row>
    <row r="409" spans="1:32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>
        <f t="array" ref="O409">IF(ISERROR(P408/R408),"",P408/R408)</f>
        <v>1.0849537121597954</v>
      </c>
      <c r="P409" s="252"/>
      <c r="Q409" s="252"/>
      <c r="R409" s="253"/>
      <c r="S409" s="44"/>
      <c r="T409" s="45"/>
      <c r="U409" s="45"/>
      <c r="V409" s="45"/>
      <c r="W409" s="254">
        <f>SUM(W408:AC408)</f>
        <v>41</v>
      </c>
      <c r="X409" s="255"/>
      <c r="Y409" s="255"/>
      <c r="Z409" s="255"/>
      <c r="AA409" s="255"/>
      <c r="AB409" s="255"/>
      <c r="AC409" s="256"/>
    </row>
    <row r="410" spans="1:32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32" ht="21.95" customHeight="1">
      <c r="A411" s="257"/>
      <c r="B411" s="257"/>
      <c r="C411" s="257" t="s">
        <v>191</v>
      </c>
      <c r="D411" s="257"/>
      <c r="E411" s="339">
        <f>+SUM('12:25'!E411)</f>
        <v>238</v>
      </c>
      <c r="F411" s="340"/>
      <c r="G411" s="339">
        <f>+SUM('12:25'!G411)</f>
        <v>237.60000000000002</v>
      </c>
      <c r="H411" s="340"/>
      <c r="I411" s="257">
        <f>G411-E411</f>
        <v>-0.39999999999997726</v>
      </c>
      <c r="J411" s="257"/>
      <c r="K411" s="259">
        <f t="array" ref="K411">IF(ISERROR(I411/E411),"",I411/E411)</f>
        <v>-1.6806722689074675E-3</v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32" ht="21.95" customHeight="1">
      <c r="A412" s="257"/>
      <c r="B412" s="257"/>
      <c r="C412" s="257" t="s">
        <v>192</v>
      </c>
      <c r="D412" s="257"/>
      <c r="E412" s="339">
        <f>+SUM('12:25'!E412)</f>
        <v>7569.4000000000005</v>
      </c>
      <c r="F412" s="340"/>
      <c r="G412" s="339">
        <f>+SUM('12:25'!G412)</f>
        <v>7769.4000000000005</v>
      </c>
      <c r="H412" s="340"/>
      <c r="I412" s="257">
        <f>G412-E412</f>
        <v>200</v>
      </c>
      <c r="J412" s="257"/>
      <c r="K412" s="259">
        <f t="array" ref="K412">IF(ISERROR(I412/E412),"",I412/E412)</f>
        <v>2.642217348799112E-2</v>
      </c>
      <c r="L412" s="259"/>
      <c r="M412" s="244"/>
      <c r="N412" s="245"/>
      <c r="O412" s="299"/>
      <c r="P412" s="299"/>
      <c r="Q412" s="261" t="s">
        <v>193</v>
      </c>
      <c r="R412" s="261"/>
      <c r="S412" s="339">
        <f>+SUM('12:25'!S412)</f>
        <v>32</v>
      </c>
      <c r="T412" s="340"/>
      <c r="U412" s="339">
        <f>+SUM('12:25'!U412)</f>
        <v>38</v>
      </c>
      <c r="V412" s="340"/>
      <c r="W412" s="261">
        <f>S412*9</f>
        <v>288</v>
      </c>
      <c r="X412" s="261"/>
      <c r="Y412" s="261">
        <f>U412*9</f>
        <v>342</v>
      </c>
      <c r="Z412" s="261"/>
      <c r="AA412" s="261">
        <f t="shared" ref="AA412:AA419" si="71">Y412-W412</f>
        <v>54</v>
      </c>
      <c r="AB412" s="261"/>
      <c r="AC412" s="261"/>
    </row>
    <row r="413" spans="1:32" ht="21.95" customHeight="1">
      <c r="A413" s="257"/>
      <c r="B413" s="257"/>
      <c r="C413" s="257" t="s">
        <v>194</v>
      </c>
      <c r="D413" s="257"/>
      <c r="E413" s="339">
        <f>+SUM('12:25'!E413)</f>
        <v>1042.5</v>
      </c>
      <c r="F413" s="340"/>
      <c r="G413" s="339">
        <f>+SUM('12:25'!G413)</f>
        <v>894</v>
      </c>
      <c r="H413" s="340"/>
      <c r="I413" s="257">
        <f>G413-E413</f>
        <v>-148.5</v>
      </c>
      <c r="J413" s="257"/>
      <c r="K413" s="259">
        <f t="array" ref="K413">IF(ISERROR(I413/E413),"",I413/E413)</f>
        <v>-0.14244604316546763</v>
      </c>
      <c r="L413" s="259"/>
      <c r="M413" s="244"/>
      <c r="N413" s="245"/>
      <c r="O413" s="299"/>
      <c r="P413" s="299"/>
      <c r="Q413" s="261" t="s">
        <v>195</v>
      </c>
      <c r="R413" s="261"/>
      <c r="S413" s="339">
        <f>+SUM('12:25'!S413)</f>
        <v>8</v>
      </c>
      <c r="T413" s="340"/>
      <c r="U413" s="339">
        <f>+SUM('12:25'!U413)</f>
        <v>12</v>
      </c>
      <c r="V413" s="340"/>
      <c r="W413" s="261">
        <f t="shared" ref="W413:W418" si="72">S413*9</f>
        <v>72</v>
      </c>
      <c r="X413" s="261"/>
      <c r="Y413" s="261">
        <f t="shared" ref="Y413:Y418" si="73">U413*9</f>
        <v>108</v>
      </c>
      <c r="Z413" s="261"/>
      <c r="AA413" s="261">
        <f t="shared" si="71"/>
        <v>36</v>
      </c>
      <c r="AB413" s="261"/>
      <c r="AC413" s="261"/>
    </row>
    <row r="414" spans="1:32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339">
        <f>+SUM('12:25'!S414)</f>
        <v>3</v>
      </c>
      <c r="T414" s="340"/>
      <c r="U414" s="339">
        <f>+SUM('12:25'!U414)</f>
        <v>1</v>
      </c>
      <c r="V414" s="340"/>
      <c r="W414" s="261">
        <f t="shared" si="72"/>
        <v>27</v>
      </c>
      <c r="X414" s="261"/>
      <c r="Y414" s="261">
        <f t="shared" si="73"/>
        <v>9</v>
      </c>
      <c r="Z414" s="261"/>
      <c r="AA414" s="261">
        <f t="shared" si="71"/>
        <v>-18</v>
      </c>
      <c r="AB414" s="261"/>
      <c r="AC414" s="261"/>
    </row>
    <row r="415" spans="1:32" ht="21.95" customHeight="1">
      <c r="A415" s="287"/>
      <c r="B415" s="288"/>
      <c r="C415" s="36" t="s">
        <v>203</v>
      </c>
      <c r="D415" s="37" t="s">
        <v>204</v>
      </c>
      <c r="E415" s="38"/>
      <c r="F415" s="142">
        <v>5</v>
      </c>
      <c r="G415" s="339">
        <f>+SUM('12:25'!G415)</f>
        <v>590696</v>
      </c>
      <c r="H415" s="340"/>
      <c r="I415" s="339">
        <f>+SUM('12:25'!I415)</f>
        <v>590405</v>
      </c>
      <c r="J415" s="340"/>
      <c r="K415" s="267">
        <f>G415-I415</f>
        <v>291</v>
      </c>
      <c r="L415" s="267"/>
      <c r="M415" s="268">
        <f t="array" ref="M415">IF(ISERROR(K415/L408),"",K415/(L408/1000))</f>
        <v>6.7877337386102878</v>
      </c>
      <c r="N415" s="268"/>
      <c r="O415" s="299"/>
      <c r="P415" s="299"/>
      <c r="Q415" s="261" t="s">
        <v>205</v>
      </c>
      <c r="R415" s="261"/>
      <c r="S415" s="339">
        <f>+SUM('12:25'!S415)</f>
        <v>3</v>
      </c>
      <c r="T415" s="340"/>
      <c r="U415" s="339">
        <f>+SUM('12:25'!U415)</f>
        <v>3</v>
      </c>
      <c r="V415" s="340"/>
      <c r="W415" s="261">
        <f t="shared" si="72"/>
        <v>27</v>
      </c>
      <c r="X415" s="261"/>
      <c r="Y415" s="261">
        <f t="shared" si="73"/>
        <v>27</v>
      </c>
      <c r="Z415" s="261"/>
      <c r="AA415" s="261">
        <f t="shared" si="71"/>
        <v>0</v>
      </c>
      <c r="AB415" s="261"/>
      <c r="AC415" s="261"/>
    </row>
    <row r="416" spans="1:32" ht="21.95" customHeight="1">
      <c r="A416" s="287"/>
      <c r="B416" s="288"/>
      <c r="C416" s="36" t="s">
        <v>206</v>
      </c>
      <c r="D416" s="37" t="s">
        <v>207</v>
      </c>
      <c r="E416" s="38"/>
      <c r="F416" s="142">
        <v>105</v>
      </c>
      <c r="G416" s="339">
        <f>+SUM('12:25'!G416)</f>
        <v>24338088</v>
      </c>
      <c r="H416" s="340"/>
      <c r="I416" s="339">
        <f>+SUM('12:25'!I416)</f>
        <v>24333402</v>
      </c>
      <c r="J416" s="340"/>
      <c r="K416" s="267">
        <f>G416-I416</f>
        <v>4686</v>
      </c>
      <c r="L416" s="267"/>
      <c r="M416" s="268">
        <f t="array" ref="M416">IF(ISERROR(K416/L408),"",K416/(L408/1000))</f>
        <v>109.30350618256978</v>
      </c>
      <c r="N416" s="268"/>
      <c r="O416" s="299"/>
      <c r="P416" s="299"/>
      <c r="Q416" s="261" t="s">
        <v>208</v>
      </c>
      <c r="R416" s="261"/>
      <c r="S416" s="339">
        <f>+SUM('12:25'!S416)</f>
        <v>6</v>
      </c>
      <c r="T416" s="340"/>
      <c r="U416" s="339">
        <f>+SUM('12:25'!U416)</f>
        <v>1</v>
      </c>
      <c r="V416" s="340"/>
      <c r="W416" s="261">
        <f t="shared" si="72"/>
        <v>54</v>
      </c>
      <c r="X416" s="261"/>
      <c r="Y416" s="261">
        <f t="shared" si="73"/>
        <v>9</v>
      </c>
      <c r="Z416" s="261"/>
      <c r="AA416" s="261">
        <f t="shared" si="71"/>
        <v>-45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42">
        <v>0.55000000000000004</v>
      </c>
      <c r="G417" s="339">
        <f>+SUM('12:25'!G417)</f>
        <v>0</v>
      </c>
      <c r="H417" s="340"/>
      <c r="I417" s="339">
        <f>+SUM('12:25'!I417)</f>
        <v>0</v>
      </c>
      <c r="J417" s="340"/>
      <c r="K417" s="267">
        <f>G417-I417</f>
        <v>0</v>
      </c>
      <c r="L417" s="267"/>
      <c r="M417" s="271">
        <f t="array" ref="M417">IF(ISERROR(K417/L408),"",K417/(L408/1000))</f>
        <v>0</v>
      </c>
      <c r="N417" s="271"/>
      <c r="O417" s="299"/>
      <c r="P417" s="299"/>
      <c r="Q417" s="261" t="s">
        <v>211</v>
      </c>
      <c r="R417" s="261"/>
      <c r="S417" s="339">
        <f>+SUM('12:25'!S417)</f>
        <v>4</v>
      </c>
      <c r="T417" s="340"/>
      <c r="U417" s="339">
        <f>+SUM('12:25'!U417)</f>
        <v>3</v>
      </c>
      <c r="V417" s="340"/>
      <c r="W417" s="261">
        <f t="shared" si="72"/>
        <v>36</v>
      </c>
      <c r="X417" s="261"/>
      <c r="Y417" s="261">
        <f t="shared" si="73"/>
        <v>27</v>
      </c>
      <c r="Z417" s="261"/>
      <c r="AA417" s="261">
        <f t="shared" si="71"/>
        <v>-9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339">
        <f>+SUM('12:25'!K418)</f>
        <v>0</v>
      </c>
      <c r="L418" s="340"/>
      <c r="M418" s="272">
        <f t="array" ref="M418">IF(ISERROR((K418+K419)/L408),"",((K418+K419)*1000)/(L408/1000))</f>
        <v>0</v>
      </c>
      <c r="N418" s="273"/>
      <c r="O418" s="299"/>
      <c r="P418" s="299"/>
      <c r="Q418" s="261" t="s">
        <v>214</v>
      </c>
      <c r="R418" s="261"/>
      <c r="S418" s="339">
        <f>+SUM('12:25'!S418)</f>
        <v>12</v>
      </c>
      <c r="T418" s="340"/>
      <c r="U418" s="339">
        <f>+SUM('12:25'!U418)</f>
        <v>10</v>
      </c>
      <c r="V418" s="340"/>
      <c r="W418" s="261">
        <f t="shared" si="72"/>
        <v>108</v>
      </c>
      <c r="X418" s="261"/>
      <c r="Y418" s="261">
        <f t="shared" si="73"/>
        <v>90</v>
      </c>
      <c r="Z418" s="261"/>
      <c r="AA418" s="261">
        <f t="shared" si="71"/>
        <v>-18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339">
        <f>+SUM('12:25'!K419)</f>
        <v>0</v>
      </c>
      <c r="L419" s="340"/>
      <c r="M419" s="274"/>
      <c r="N419" s="275"/>
      <c r="O419" s="299"/>
      <c r="P419" s="299"/>
      <c r="Q419" s="261" t="s">
        <v>216</v>
      </c>
      <c r="R419" s="261"/>
      <c r="S419" s="262">
        <f>SUM(S412:T418)</f>
        <v>68</v>
      </c>
      <c r="T419" s="262"/>
      <c r="U419" s="262">
        <f>SUM(U412:V418)</f>
        <v>68</v>
      </c>
      <c r="V419" s="262"/>
      <c r="W419" s="339">
        <f>+SUM('12:25'!W419)</f>
        <v>654.5</v>
      </c>
      <c r="X419" s="340"/>
      <c r="Y419" s="339">
        <f>+SUM('12:25'!Y419)</f>
        <v>654.5</v>
      </c>
      <c r="Z419" s="340"/>
      <c r="AA419" s="261">
        <f t="shared" si="71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>
        <f t="array" ref="S420">IF(ISERROR(L408/Y419),"",L408/Y419)</f>
        <v>65.502600196442216</v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87486.781904761912</v>
      </c>
      <c r="D423" s="315"/>
      <c r="E423" s="311" t="s">
        <v>226</v>
      </c>
      <c r="F423" s="311"/>
      <c r="G423" s="311">
        <f>L199+L408</f>
        <v>86197.513333333336</v>
      </c>
      <c r="H423" s="311"/>
      <c r="I423" s="318" t="s">
        <v>227</v>
      </c>
      <c r="J423" s="318"/>
      <c r="K423" s="317">
        <f>IF(ISERROR(G423/C423),"",G423/C423)</f>
        <v>0.98526327585312179</v>
      </c>
      <c r="L423" s="317"/>
      <c r="M423" s="311" t="s">
        <v>228</v>
      </c>
      <c r="N423" s="311"/>
      <c r="O423" s="312">
        <f>IF(ISERROR(G423/G424),"",G423/G424)</f>
        <v>61.923500957854408</v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1586.4388965991934</v>
      </c>
      <c r="D424" s="315"/>
      <c r="E424" s="316" t="s">
        <v>18</v>
      </c>
      <c r="F424" s="316"/>
      <c r="G424" s="311">
        <f>R199+R408</f>
        <v>1392</v>
      </c>
      <c r="H424" s="311"/>
      <c r="I424" s="291" t="s">
        <v>176</v>
      </c>
      <c r="J424" s="291"/>
      <c r="K424" s="317">
        <f>IF(ISERROR(C424/G424),"",C424/G424)</f>
        <v>1.1396831153729838</v>
      </c>
      <c r="L424" s="317"/>
      <c r="M424" s="257" t="s">
        <v>230</v>
      </c>
      <c r="N424" s="257"/>
      <c r="O424" s="311">
        <f>W200+W409</f>
        <v>87.5</v>
      </c>
      <c r="P424" s="257"/>
      <c r="Q424" s="257" t="s">
        <v>231</v>
      </c>
      <c r="R424" s="257"/>
      <c r="S424" s="317">
        <f t="array" ref="S424">IF(ISERROR(O424/G424),"",O424/G424)</f>
        <v>6.2859195402298854E-2</v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563</v>
      </c>
      <c r="D426" s="315"/>
      <c r="E426" s="311" t="s">
        <v>234</v>
      </c>
      <c r="F426" s="311"/>
      <c r="G426" s="271">
        <f t="array" ref="G426">IF(ISERROR(C426/G423),"",C426/(G423/1000))</f>
        <v>6.5315109244837455</v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9822</v>
      </c>
      <c r="D427" s="315"/>
      <c r="E427" s="311" t="s">
        <v>236</v>
      </c>
      <c r="F427" s="311"/>
      <c r="G427" s="271">
        <f>IF(ISERROR(C427/G423),"",C427/(G423/1000))</f>
        <v>113.94760266479459</v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>
        <f>IF(ISERROR(C428/G423),"",C428/(G423/1000))</f>
        <v>0</v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>
        <f>IF(ISERROR(C429/G423),"",C429/(G423/1000))</f>
        <v>0</v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>
        <f>IF(ISERROR(C430/G423),"",C430/(G423/1000))</f>
        <v>0</v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456</v>
      </c>
      <c r="D432" s="324"/>
      <c r="E432" s="311" t="s">
        <v>247</v>
      </c>
      <c r="F432" s="329"/>
      <c r="G432" s="325">
        <f>+G411+G202</f>
        <v>431.20000000000005</v>
      </c>
      <c r="H432" s="326"/>
      <c r="I432" s="311" t="s">
        <v>248</v>
      </c>
      <c r="J432" s="329"/>
      <c r="K432" s="293">
        <f>G432-C432</f>
        <v>-24.799999999999955</v>
      </c>
      <c r="L432" s="295"/>
      <c r="M432" s="330" t="s">
        <v>249</v>
      </c>
      <c r="N432" s="330"/>
      <c r="O432" s="321">
        <f t="array" ref="O432">IF(ISERROR(K432/C432),"",K432/C432)</f>
        <v>-5.43859649122806E-2</v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14880.900000000001</v>
      </c>
      <c r="D433" s="324"/>
      <c r="E433" s="311" t="s">
        <v>251</v>
      </c>
      <c r="F433" s="311"/>
      <c r="G433" s="325">
        <f>+G412+G203</f>
        <v>15595.900000000001</v>
      </c>
      <c r="H433" s="326"/>
      <c r="I433" s="311" t="s">
        <v>252</v>
      </c>
      <c r="J433" s="311"/>
      <c r="K433" s="293">
        <f>G433-C433</f>
        <v>715</v>
      </c>
      <c r="L433" s="295"/>
      <c r="M433" s="327" t="s">
        <v>253</v>
      </c>
      <c r="N433" s="328"/>
      <c r="O433" s="321">
        <f t="array" ref="O433">IF(ISERROR(K433/C433),"",K433/C433)</f>
        <v>4.8048169129555333E-2</v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2420.6999999999998</v>
      </c>
      <c r="D434" s="324"/>
      <c r="E434" s="311" t="s">
        <v>255</v>
      </c>
      <c r="F434" s="329"/>
      <c r="G434" s="325">
        <f>+G413+G204</f>
        <v>2289</v>
      </c>
      <c r="H434" s="326"/>
      <c r="I434" s="311" t="s">
        <v>256</v>
      </c>
      <c r="J434" s="329"/>
      <c r="K434" s="293">
        <f>G434-C434</f>
        <v>-131.69999999999982</v>
      </c>
      <c r="L434" s="295"/>
      <c r="M434" s="327" t="s">
        <v>257</v>
      </c>
      <c r="N434" s="328"/>
      <c r="O434" s="321">
        <f t="array" ref="O434">IF(ISERROR(K434/C434),"",K434/C434)</f>
        <v>-5.4405750402775989E-2</v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49" t="s">
        <v>265</v>
      </c>
      <c r="I436" s="149" t="s">
        <v>266</v>
      </c>
      <c r="J436" s="149" t="s">
        <v>267</v>
      </c>
      <c r="K436" s="149" t="s">
        <v>268</v>
      </c>
      <c r="L436" s="149" t="s">
        <v>269</v>
      </c>
      <c r="M436" s="149" t="s">
        <v>270</v>
      </c>
      <c r="N436" s="149" t="s">
        <v>271</v>
      </c>
      <c r="O436" s="149" t="s">
        <v>272</v>
      </c>
      <c r="P436" s="138" t="s">
        <v>273</v>
      </c>
      <c r="Q436" s="149" t="s">
        <v>274</v>
      </c>
      <c r="R436" s="145" t="s">
        <v>189</v>
      </c>
      <c r="S436" s="135" t="s">
        <v>275</v>
      </c>
      <c r="T436" s="146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74">SUM(D437:F437)-O437-P437-G437</f>
        <v>16</v>
      </c>
      <c r="D437" s="133">
        <f>+SUM('12:25'!D437)</f>
        <v>15</v>
      </c>
      <c r="E437" s="133">
        <f>+SUM('12:25'!E437)</f>
        <v>1</v>
      </c>
      <c r="F437" s="133">
        <f>+SUM('12:25'!F437)</f>
        <v>0</v>
      </c>
      <c r="G437" s="133">
        <f>+SUM('12:25'!G437)</f>
        <v>0</v>
      </c>
      <c r="H437" s="133">
        <f>+SUM('12:25'!H437)</f>
        <v>0</v>
      </c>
      <c r="I437" s="133">
        <f>+SUM('12:25'!I437)</f>
        <v>0</v>
      </c>
      <c r="J437" s="83">
        <f t="shared" ref="J437:J452" si="75">C437-H437-I437</f>
        <v>16</v>
      </c>
      <c r="K437" s="133">
        <f>+SUM('12:25'!K437)</f>
        <v>0</v>
      </c>
      <c r="L437" s="133">
        <f>+SUM('12:25'!L437)</f>
        <v>0</v>
      </c>
      <c r="M437" s="133">
        <f>+SUM('12:25'!M437)</f>
        <v>0</v>
      </c>
      <c r="N437" s="133">
        <f>+SUM('12:25'!N437)</f>
        <v>0</v>
      </c>
      <c r="O437" s="133">
        <f>+SUM('12:25'!O437)</f>
        <v>0</v>
      </c>
      <c r="P437" s="133">
        <f>+SUM('12:25'!P437)</f>
        <v>0</v>
      </c>
      <c r="Q437" s="83">
        <f t="shared" ref="Q437:Q452" si="76">J437-K437-L437</f>
        <v>16</v>
      </c>
      <c r="R437" s="145">
        <f>Q437*11-M437-N437</f>
        <v>176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74"/>
        <v>25</v>
      </c>
      <c r="D438" s="133">
        <f>+SUM('12:25'!D438)</f>
        <v>25</v>
      </c>
      <c r="E438" s="133">
        <f>+SUM('12:25'!E438)</f>
        <v>0</v>
      </c>
      <c r="F438" s="133">
        <f>+SUM('12:25'!F438)</f>
        <v>0</v>
      </c>
      <c r="G438" s="133">
        <f>+SUM('12:25'!G438)</f>
        <v>0</v>
      </c>
      <c r="H438" s="133">
        <f>+SUM('12:25'!H438)</f>
        <v>0</v>
      </c>
      <c r="I438" s="133">
        <f>+SUM('12:25'!I438)</f>
        <v>0</v>
      </c>
      <c r="J438" s="83">
        <f t="shared" si="75"/>
        <v>25</v>
      </c>
      <c r="K438" s="133">
        <f>+SUM('12:25'!K438)</f>
        <v>0</v>
      </c>
      <c r="L438" s="133">
        <f>+SUM('12:25'!L438)</f>
        <v>0</v>
      </c>
      <c r="M438" s="133">
        <f>+SUM('12:25'!M438)</f>
        <v>0</v>
      </c>
      <c r="N438" s="133">
        <f>+SUM('12:25'!N438)</f>
        <v>0</v>
      </c>
      <c r="O438" s="133">
        <f>+SUM('12:25'!O438)</f>
        <v>0</v>
      </c>
      <c r="P438" s="133">
        <f>+SUM('12:25'!P438)</f>
        <v>0</v>
      </c>
      <c r="Q438" s="83">
        <f t="shared" si="76"/>
        <v>25</v>
      </c>
      <c r="R438" s="145">
        <f t="shared" ref="R438:R443" si="77">Q438*11-M438-N438</f>
        <v>275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74"/>
        <v>15</v>
      </c>
      <c r="D439" s="133">
        <f>+SUM('12:25'!D439)</f>
        <v>15</v>
      </c>
      <c r="E439" s="133">
        <f>+SUM('12:25'!E439)</f>
        <v>0</v>
      </c>
      <c r="F439" s="133">
        <f>+SUM('12:25'!F439)</f>
        <v>0</v>
      </c>
      <c r="G439" s="133">
        <f>+SUM('12:25'!G439)</f>
        <v>0</v>
      </c>
      <c r="H439" s="133">
        <f>+SUM('12:25'!H439)</f>
        <v>0</v>
      </c>
      <c r="I439" s="133">
        <f>+SUM('12:25'!I439)</f>
        <v>0</v>
      </c>
      <c r="J439" s="83">
        <f t="shared" si="75"/>
        <v>15</v>
      </c>
      <c r="K439" s="133">
        <f>+SUM('12:25'!K439)</f>
        <v>0</v>
      </c>
      <c r="L439" s="133">
        <f>+SUM('12:25'!L439)</f>
        <v>0</v>
      </c>
      <c r="M439" s="133">
        <f>+SUM('12:25'!M439)</f>
        <v>0</v>
      </c>
      <c r="N439" s="133">
        <f>+SUM('12:25'!N439)</f>
        <v>0</v>
      </c>
      <c r="O439" s="133">
        <f>+SUM('12:25'!O439)</f>
        <v>0</v>
      </c>
      <c r="P439" s="133">
        <f>+SUM('12:25'!P439)</f>
        <v>0</v>
      </c>
      <c r="Q439" s="83">
        <f t="shared" si="76"/>
        <v>15</v>
      </c>
      <c r="R439" s="145">
        <f t="shared" si="77"/>
        <v>165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74"/>
        <v>56</v>
      </c>
      <c r="D440" s="133">
        <f>+SUM('12:25'!D440)</f>
        <v>55</v>
      </c>
      <c r="E440" s="133">
        <f>+SUM('12:25'!E440)</f>
        <v>1</v>
      </c>
      <c r="F440" s="133">
        <f>+SUM('12:25'!F440)</f>
        <v>0</v>
      </c>
      <c r="G440" s="133">
        <f>+SUM('12:25'!G440)</f>
        <v>0</v>
      </c>
      <c r="H440" s="133">
        <f>+SUM('12:25'!H440)</f>
        <v>0</v>
      </c>
      <c r="I440" s="133">
        <f>+SUM('12:25'!I440)</f>
        <v>39</v>
      </c>
      <c r="J440" s="83">
        <f t="shared" si="75"/>
        <v>17</v>
      </c>
      <c r="K440" s="133">
        <f>+SUM('12:25'!K440)</f>
        <v>1</v>
      </c>
      <c r="L440" s="133">
        <f>+SUM('12:25'!L440)</f>
        <v>0</v>
      </c>
      <c r="M440" s="133">
        <f>+SUM('12:25'!M440)</f>
        <v>0</v>
      </c>
      <c r="N440" s="133">
        <f>+SUM('12:25'!N440)</f>
        <v>0</v>
      </c>
      <c r="O440" s="133">
        <f>+SUM('12:25'!O440)</f>
        <v>0</v>
      </c>
      <c r="P440" s="133">
        <f>+SUM('12:25'!P440)</f>
        <v>0</v>
      </c>
      <c r="Q440" s="83">
        <f t="shared" si="76"/>
        <v>16</v>
      </c>
      <c r="R440" s="145">
        <f t="shared" si="77"/>
        <v>176</v>
      </c>
      <c r="S440" s="101">
        <f t="array" ref="S440">IF(ISERROR(Q440/J440),"",Q440/J440)</f>
        <v>0.94117647058823528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74"/>
        <v>0</v>
      </c>
      <c r="D441" s="133">
        <f>+SUM('12:25'!D441)</f>
        <v>0</v>
      </c>
      <c r="E441" s="133">
        <f>+SUM('12:25'!E441)</f>
        <v>0</v>
      </c>
      <c r="F441" s="133">
        <f>+SUM('12:25'!F441)</f>
        <v>0</v>
      </c>
      <c r="G441" s="133">
        <f>+SUM('12:25'!G441)</f>
        <v>0</v>
      </c>
      <c r="H441" s="133">
        <f>+SUM('12:25'!H441)</f>
        <v>0</v>
      </c>
      <c r="I441" s="133">
        <f>+SUM('12:25'!I441)</f>
        <v>0</v>
      </c>
      <c r="J441" s="83">
        <f t="shared" si="75"/>
        <v>0</v>
      </c>
      <c r="K441" s="133">
        <f>+SUM('12:25'!K441)</f>
        <v>0</v>
      </c>
      <c r="L441" s="133">
        <f>+SUM('12:25'!L441)</f>
        <v>0</v>
      </c>
      <c r="M441" s="133">
        <f>+SUM('12:25'!M441)</f>
        <v>0</v>
      </c>
      <c r="N441" s="133">
        <f>+SUM('12:25'!N441)</f>
        <v>0</v>
      </c>
      <c r="O441" s="133">
        <f>+SUM('12:25'!O441)</f>
        <v>0</v>
      </c>
      <c r="P441" s="133">
        <f>+SUM('12:25'!P441)</f>
        <v>0</v>
      </c>
      <c r="Q441" s="83">
        <f t="shared" si="76"/>
        <v>0</v>
      </c>
      <c r="R441" s="145">
        <f t="shared" si="7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74"/>
        <v>10</v>
      </c>
      <c r="D442" s="133">
        <f>+SUM('12:25'!D442)</f>
        <v>10</v>
      </c>
      <c r="E442" s="133">
        <f>+SUM('12:25'!E442)</f>
        <v>0</v>
      </c>
      <c r="F442" s="133">
        <f>+SUM('12:25'!F442)</f>
        <v>0</v>
      </c>
      <c r="G442" s="133">
        <f>+SUM('12:25'!G442)</f>
        <v>0</v>
      </c>
      <c r="H442" s="133">
        <f>+SUM('12:25'!H442)</f>
        <v>0</v>
      </c>
      <c r="I442" s="133">
        <f>+SUM('12:25'!I442)</f>
        <v>0</v>
      </c>
      <c r="J442" s="83">
        <f t="shared" si="75"/>
        <v>10</v>
      </c>
      <c r="K442" s="133">
        <f>+SUM('12:25'!K442)</f>
        <v>0</v>
      </c>
      <c r="L442" s="133">
        <f>+SUM('12:25'!L442)</f>
        <v>0</v>
      </c>
      <c r="M442" s="133">
        <f>+SUM('12:25'!M442)</f>
        <v>0</v>
      </c>
      <c r="N442" s="133">
        <f>+SUM('12:25'!N442)</f>
        <v>0</v>
      </c>
      <c r="O442" s="133">
        <f>+SUM('12:25'!O442)</f>
        <v>0</v>
      </c>
      <c r="P442" s="133">
        <f>+SUM('12:25'!P442)</f>
        <v>0</v>
      </c>
      <c r="Q442" s="83">
        <f t="shared" si="76"/>
        <v>10</v>
      </c>
      <c r="R442" s="145">
        <f t="shared" si="77"/>
        <v>110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78">SUM(D443:F443)-O443-P443-G443</f>
        <v>122</v>
      </c>
      <c r="D443" s="68">
        <f>SUM(D437:D442)</f>
        <v>120</v>
      </c>
      <c r="E443" s="68">
        <f t="shared" ref="E443:P443" si="79">SUM(E437:E442)</f>
        <v>2</v>
      </c>
      <c r="F443" s="68">
        <f t="shared" si="79"/>
        <v>0</v>
      </c>
      <c r="G443" s="68">
        <f t="shared" si="79"/>
        <v>0</v>
      </c>
      <c r="H443" s="68">
        <f t="shared" si="79"/>
        <v>0</v>
      </c>
      <c r="I443" s="68">
        <f t="shared" si="79"/>
        <v>39</v>
      </c>
      <c r="J443" s="84">
        <f t="shared" si="75"/>
        <v>83</v>
      </c>
      <c r="K443" s="68">
        <f t="shared" si="79"/>
        <v>1</v>
      </c>
      <c r="L443" s="68">
        <f t="shared" si="79"/>
        <v>0</v>
      </c>
      <c r="M443" s="68">
        <f t="shared" si="79"/>
        <v>0</v>
      </c>
      <c r="N443" s="68">
        <f t="shared" si="79"/>
        <v>0</v>
      </c>
      <c r="O443" s="68">
        <f t="shared" si="79"/>
        <v>0</v>
      </c>
      <c r="P443" s="68">
        <f t="shared" si="79"/>
        <v>0</v>
      </c>
      <c r="Q443" s="83">
        <f t="shared" si="76"/>
        <v>82</v>
      </c>
      <c r="R443" s="145">
        <f t="shared" si="77"/>
        <v>902</v>
      </c>
      <c r="S443" s="120">
        <f t="array" ref="S443">IF(ISERROR(Q443/J443),"",Q443/J443)</f>
        <v>0.98795180722891562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78"/>
        <v>20</v>
      </c>
      <c r="D444" s="133">
        <f>+SUM('12:25'!D444)</f>
        <v>20</v>
      </c>
      <c r="E444" s="133">
        <f>+SUM('12:25'!E444)</f>
        <v>0</v>
      </c>
      <c r="F444" s="133">
        <f>+SUM('12:25'!F444)</f>
        <v>0</v>
      </c>
      <c r="G444" s="133">
        <f>+SUM('12:25'!G444)</f>
        <v>0</v>
      </c>
      <c r="H444" s="133">
        <f>+SUM('12:25'!H444)</f>
        <v>3</v>
      </c>
      <c r="I444" s="133">
        <f>+SUM('12:25'!I444)</f>
        <v>4</v>
      </c>
      <c r="J444" s="83">
        <f t="shared" si="75"/>
        <v>13</v>
      </c>
      <c r="K444" s="133">
        <f>+SUM('12:25'!K444)</f>
        <v>0</v>
      </c>
      <c r="L444" s="133">
        <f>+SUM('12:25'!L444)</f>
        <v>0</v>
      </c>
      <c r="M444" s="133">
        <f>+SUM('12:25'!M444)</f>
        <v>0</v>
      </c>
      <c r="N444" s="133">
        <f>+SUM('12:25'!N444)</f>
        <v>0</v>
      </c>
      <c r="O444" s="133">
        <f>+SUM('12:25'!O444)</f>
        <v>0</v>
      </c>
      <c r="P444" s="133">
        <f>+SUM('12:25'!P444)</f>
        <v>0</v>
      </c>
      <c r="Q444" s="83">
        <f t="shared" si="76"/>
        <v>13</v>
      </c>
      <c r="R444" s="145">
        <f>Q444*11.5-M444-N444</f>
        <v>149.5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78"/>
        <v>10</v>
      </c>
      <c r="D445" s="133">
        <f>+SUM('12:25'!D445)</f>
        <v>10</v>
      </c>
      <c r="E445" s="133">
        <f>+SUM('12:25'!E445)</f>
        <v>0</v>
      </c>
      <c r="F445" s="133">
        <f>+SUM('12:25'!F445)</f>
        <v>0</v>
      </c>
      <c r="G445" s="133">
        <f>+SUM('12:25'!G445)</f>
        <v>0</v>
      </c>
      <c r="H445" s="133">
        <f>+SUM('12:25'!H445)</f>
        <v>2</v>
      </c>
      <c r="I445" s="133">
        <f>+SUM('12:25'!I445)</f>
        <v>0</v>
      </c>
      <c r="J445" s="83">
        <f t="shared" si="75"/>
        <v>8</v>
      </c>
      <c r="K445" s="133">
        <f>+SUM('12:25'!K445)</f>
        <v>0</v>
      </c>
      <c r="L445" s="133">
        <f>+SUM('12:25'!L445)</f>
        <v>0</v>
      </c>
      <c r="M445" s="133">
        <f>+SUM('12:25'!M445)</f>
        <v>0</v>
      </c>
      <c r="N445" s="133">
        <f>+SUM('12:25'!N445)</f>
        <v>0</v>
      </c>
      <c r="O445" s="133">
        <f>+SUM('12:25'!O445)</f>
        <v>0</v>
      </c>
      <c r="P445" s="133">
        <f>+SUM('12:25'!P445)</f>
        <v>0</v>
      </c>
      <c r="Q445" s="83">
        <f t="shared" si="76"/>
        <v>8</v>
      </c>
      <c r="R445" s="145">
        <f t="shared" ref="R445:R450" si="80">Q445*11.5-M445-N445</f>
        <v>92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78"/>
        <v>15</v>
      </c>
      <c r="D446" s="133">
        <f>+SUM('12:25'!D446)</f>
        <v>15</v>
      </c>
      <c r="E446" s="133">
        <f>+SUM('12:25'!E446)</f>
        <v>0</v>
      </c>
      <c r="F446" s="133">
        <f>+SUM('12:25'!F446)</f>
        <v>0</v>
      </c>
      <c r="G446" s="133">
        <f>+SUM('12:25'!G446)</f>
        <v>0</v>
      </c>
      <c r="H446" s="133">
        <f>+SUM('12:25'!H446)</f>
        <v>3</v>
      </c>
      <c r="I446" s="133">
        <f>+SUM('12:25'!I446)</f>
        <v>0</v>
      </c>
      <c r="J446" s="83">
        <f t="shared" si="75"/>
        <v>12</v>
      </c>
      <c r="K446" s="133">
        <f>+SUM('12:25'!K446)</f>
        <v>0</v>
      </c>
      <c r="L446" s="133">
        <f>+SUM('12:25'!L446)</f>
        <v>0</v>
      </c>
      <c r="M446" s="133">
        <f>+SUM('12:25'!M446)</f>
        <v>0</v>
      </c>
      <c r="N446" s="133">
        <f>+SUM('12:25'!N446)</f>
        <v>0</v>
      </c>
      <c r="O446" s="133">
        <f>+SUM('12:25'!O446)</f>
        <v>0</v>
      </c>
      <c r="P446" s="133">
        <f>+SUM('12:25'!P446)</f>
        <v>0</v>
      </c>
      <c r="Q446" s="83">
        <f t="shared" si="76"/>
        <v>12</v>
      </c>
      <c r="R446" s="145">
        <f t="shared" si="80"/>
        <v>138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78"/>
        <v>75</v>
      </c>
      <c r="D447" s="133">
        <f>+SUM('12:25'!D447)</f>
        <v>75</v>
      </c>
      <c r="E447" s="133">
        <f>+SUM('12:25'!E447)</f>
        <v>0</v>
      </c>
      <c r="F447" s="133">
        <f>+SUM('12:25'!F447)</f>
        <v>0</v>
      </c>
      <c r="G447" s="133">
        <f>+SUM('12:25'!G447)</f>
        <v>0</v>
      </c>
      <c r="H447" s="133">
        <f>+SUM('12:25'!H447)</f>
        <v>11</v>
      </c>
      <c r="I447" s="133">
        <f>+SUM('12:25'!I447)</f>
        <v>40</v>
      </c>
      <c r="J447" s="83">
        <f t="shared" si="75"/>
        <v>24</v>
      </c>
      <c r="K447" s="133">
        <f>+SUM('12:25'!K447)</f>
        <v>1</v>
      </c>
      <c r="L447" s="133">
        <f>+SUM('12:25'!L447)</f>
        <v>0</v>
      </c>
      <c r="M447" s="133">
        <f>+SUM('12:25'!M447)</f>
        <v>0</v>
      </c>
      <c r="N447" s="133">
        <f>+SUM('12:25'!N447)</f>
        <v>0</v>
      </c>
      <c r="O447" s="133">
        <f>+SUM('12:25'!O447)</f>
        <v>0</v>
      </c>
      <c r="P447" s="133">
        <f>+SUM('12:25'!P447)</f>
        <v>0</v>
      </c>
      <c r="Q447" s="83">
        <f t="shared" si="76"/>
        <v>23</v>
      </c>
      <c r="R447" s="145">
        <f t="shared" si="80"/>
        <v>264.5</v>
      </c>
      <c r="S447" s="101">
        <f t="array" ref="S447">IF(ISERROR(Q447/J447),"",Q447/J447)</f>
        <v>0.95833333333333337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78"/>
        <v>5</v>
      </c>
      <c r="D448" s="133">
        <f>+SUM('12:25'!D448)</f>
        <v>5</v>
      </c>
      <c r="E448" s="133">
        <f>+SUM('12:25'!E448)</f>
        <v>0</v>
      </c>
      <c r="F448" s="133">
        <f>+SUM('12:25'!F448)</f>
        <v>0</v>
      </c>
      <c r="G448" s="133">
        <f>+SUM('12:25'!G448)</f>
        <v>0</v>
      </c>
      <c r="H448" s="133">
        <f>+SUM('12:25'!H448)</f>
        <v>1</v>
      </c>
      <c r="I448" s="133">
        <f>+SUM('12:25'!I448)</f>
        <v>0</v>
      </c>
      <c r="J448" s="83">
        <f t="shared" si="75"/>
        <v>4</v>
      </c>
      <c r="K448" s="133">
        <f>+SUM('12:25'!K448)</f>
        <v>0</v>
      </c>
      <c r="L448" s="133">
        <f>+SUM('12:25'!L448)</f>
        <v>0</v>
      </c>
      <c r="M448" s="133">
        <f>+SUM('12:25'!M448)</f>
        <v>0</v>
      </c>
      <c r="N448" s="133">
        <f>+SUM('12:25'!N448)</f>
        <v>0</v>
      </c>
      <c r="O448" s="133">
        <f>+SUM('12:25'!O448)</f>
        <v>0</v>
      </c>
      <c r="P448" s="133">
        <f>+SUM('12:25'!P448)</f>
        <v>0</v>
      </c>
      <c r="Q448" s="83">
        <f t="shared" si="76"/>
        <v>4</v>
      </c>
      <c r="R448" s="145">
        <f t="shared" si="80"/>
        <v>46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78"/>
        <v>10</v>
      </c>
      <c r="D449" s="133">
        <f>+SUM('12:25'!D449)</f>
        <v>10</v>
      </c>
      <c r="E449" s="133">
        <f>+SUM('12:25'!E449)</f>
        <v>0</v>
      </c>
      <c r="F449" s="133">
        <f>+SUM('12:25'!F449)</f>
        <v>0</v>
      </c>
      <c r="G449" s="133">
        <f>+SUM('12:25'!G449)</f>
        <v>0</v>
      </c>
      <c r="H449" s="133">
        <f>+SUM('12:25'!H449)</f>
        <v>2</v>
      </c>
      <c r="I449" s="133">
        <f>+SUM('12:25'!I449)</f>
        <v>0</v>
      </c>
      <c r="J449" s="83">
        <f t="shared" si="75"/>
        <v>8</v>
      </c>
      <c r="K449" s="133">
        <f>+SUM('12:25'!K449)</f>
        <v>0</v>
      </c>
      <c r="L449" s="133">
        <f>+SUM('12:25'!L449)</f>
        <v>0</v>
      </c>
      <c r="M449" s="133">
        <f>+SUM('12:25'!M449)</f>
        <v>0</v>
      </c>
      <c r="N449" s="133">
        <f>+SUM('12:25'!N449)</f>
        <v>0</v>
      </c>
      <c r="O449" s="133">
        <f>+SUM('12:25'!O449)</f>
        <v>0</v>
      </c>
      <c r="P449" s="133">
        <f>+SUM('12:25'!P449)</f>
        <v>0</v>
      </c>
      <c r="Q449" s="83">
        <f t="shared" si="76"/>
        <v>8</v>
      </c>
      <c r="R449" s="145">
        <f t="shared" si="80"/>
        <v>92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78"/>
        <v>135</v>
      </c>
      <c r="D450" s="69">
        <f t="shared" ref="D450:I450" si="81">SUM(D444:D449)</f>
        <v>135</v>
      </c>
      <c r="E450" s="69">
        <f t="shared" si="81"/>
        <v>0</v>
      </c>
      <c r="F450" s="69">
        <f t="shared" si="81"/>
        <v>0</v>
      </c>
      <c r="G450" s="69">
        <f t="shared" si="81"/>
        <v>0</v>
      </c>
      <c r="H450" s="69">
        <f t="shared" si="81"/>
        <v>22</v>
      </c>
      <c r="I450" s="69">
        <f t="shared" si="81"/>
        <v>44</v>
      </c>
      <c r="J450" s="85">
        <f t="shared" si="75"/>
        <v>69</v>
      </c>
      <c r="K450" s="69">
        <f t="shared" ref="K450:P450" si="82">SUM(K444:K449)</f>
        <v>1</v>
      </c>
      <c r="L450" s="69">
        <f t="shared" si="82"/>
        <v>0</v>
      </c>
      <c r="M450" s="69">
        <f t="shared" si="82"/>
        <v>0</v>
      </c>
      <c r="N450" s="69">
        <f t="shared" si="82"/>
        <v>0</v>
      </c>
      <c r="O450" s="69">
        <f t="shared" si="82"/>
        <v>0</v>
      </c>
      <c r="P450" s="69">
        <f t="shared" si="82"/>
        <v>0</v>
      </c>
      <c r="Q450" s="83">
        <f t="shared" si="76"/>
        <v>68</v>
      </c>
      <c r="R450" s="145">
        <f t="shared" si="80"/>
        <v>782</v>
      </c>
      <c r="S450" s="122">
        <f t="array" ref="S450">IF(ISERROR(Q450/J450),"",Q450/J450)</f>
        <v>0.98550724637681164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78"/>
        <v>10</v>
      </c>
      <c r="D451" s="133">
        <f>+SUM('12:25'!D451)</f>
        <v>10</v>
      </c>
      <c r="E451" s="133">
        <f>+SUM('12:25'!E451)</f>
        <v>0</v>
      </c>
      <c r="F451" s="133">
        <f>+SUM('12:25'!F451)</f>
        <v>0</v>
      </c>
      <c r="G451" s="133">
        <f>+SUM('12:25'!G451)</f>
        <v>0</v>
      </c>
      <c r="H451" s="133">
        <f>+SUM('12:25'!H451)</f>
        <v>0</v>
      </c>
      <c r="I451" s="133">
        <f>+SUM('12:25'!I451)</f>
        <v>0</v>
      </c>
      <c r="J451" s="83">
        <f t="shared" si="75"/>
        <v>10</v>
      </c>
      <c r="K451" s="133">
        <f>+SUM('12:25'!K451)</f>
        <v>0</v>
      </c>
      <c r="L451" s="133">
        <f>+SUM('12:25'!L451)</f>
        <v>0</v>
      </c>
      <c r="M451" s="133">
        <f>+SUM('12:25'!M451)</f>
        <v>0</v>
      </c>
      <c r="N451" s="133">
        <f>+SUM('12:25'!N451)</f>
        <v>0</v>
      </c>
      <c r="O451" s="133">
        <f>+SUM('12:25'!O451)</f>
        <v>0</v>
      </c>
      <c r="P451" s="133">
        <f>+SUM('12:25'!P451)</f>
        <v>0</v>
      </c>
      <c r="Q451" s="83">
        <f t="shared" si="76"/>
        <v>10</v>
      </c>
      <c r="R451" s="145">
        <f>Q451*11-M451-N451</f>
        <v>110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78"/>
        <v>267</v>
      </c>
      <c r="D452" s="69">
        <f>+D451+D450+D443</f>
        <v>265</v>
      </c>
      <c r="E452" s="69">
        <f>+E443+E450+E451</f>
        <v>2</v>
      </c>
      <c r="F452" s="69">
        <f>+F443+F450+F451</f>
        <v>0</v>
      </c>
      <c r="G452" s="69">
        <f>+G443+G450+G451</f>
        <v>0</v>
      </c>
      <c r="H452" s="69">
        <f>+H443+H450+H451</f>
        <v>22</v>
      </c>
      <c r="I452" s="69">
        <f>+I443+I450+I451</f>
        <v>83</v>
      </c>
      <c r="J452" s="85">
        <f t="shared" si="75"/>
        <v>162</v>
      </c>
      <c r="K452" s="69">
        <f t="shared" ref="K452:P452" si="83">+K443+K450+K451</f>
        <v>2</v>
      </c>
      <c r="L452" s="69">
        <f t="shared" si="83"/>
        <v>0</v>
      </c>
      <c r="M452" s="69">
        <f t="shared" si="83"/>
        <v>0</v>
      </c>
      <c r="N452" s="69">
        <f t="shared" si="83"/>
        <v>0</v>
      </c>
      <c r="O452" s="69">
        <f t="shared" si="83"/>
        <v>0</v>
      </c>
      <c r="P452" s="69">
        <f t="shared" si="83"/>
        <v>0</v>
      </c>
      <c r="Q452" s="83">
        <f t="shared" si="76"/>
        <v>160</v>
      </c>
      <c r="R452" s="67">
        <f>R443+R450+R451</f>
        <v>1794</v>
      </c>
      <c r="S452" s="123">
        <f t="array" ref="S452">IF(ISERROR(Q452/J452),"",Q452/J452)</f>
        <v>0.98765432098765427</v>
      </c>
      <c r="T452" s="13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8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AD4:AD5"/>
    <mergeCell ref="AE4:AE5"/>
    <mergeCell ref="AF4:AF5"/>
    <mergeCell ref="AD213:AD214"/>
    <mergeCell ref="AE213:AE214"/>
    <mergeCell ref="AF213:AF214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</mergeCells>
  <phoneticPr fontId="23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24" t="s">
        <v>1</v>
      </c>
      <c r="B2" s="224"/>
      <c r="C2" s="224"/>
      <c r="D2" s="224"/>
      <c r="E2" s="224"/>
      <c r="F2" s="224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4"/>
      <c r="T2" s="224"/>
      <c r="U2" s="224"/>
      <c r="V2" s="224"/>
      <c r="W2" s="224"/>
      <c r="X2" s="224"/>
      <c r="Y2" s="225"/>
      <c r="Z2" s="224"/>
      <c r="AA2" s="224"/>
      <c r="AB2" s="224"/>
      <c r="AC2" s="224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26" t="s">
        <v>3</v>
      </c>
      <c r="B4" s="226" t="s">
        <v>4</v>
      </c>
      <c r="C4" s="226" t="s">
        <v>5</v>
      </c>
      <c r="D4" s="226"/>
      <c r="E4" s="226" t="s">
        <v>6</v>
      </c>
      <c r="F4" s="226" t="s">
        <v>7</v>
      </c>
      <c r="G4" s="227" t="s">
        <v>8</v>
      </c>
      <c r="H4" s="227" t="s">
        <v>9</v>
      </c>
      <c r="I4" s="227" t="s">
        <v>10</v>
      </c>
      <c r="J4" s="227" t="s">
        <v>11</v>
      </c>
      <c r="K4" s="227" t="s">
        <v>12</v>
      </c>
      <c r="L4" s="227" t="s">
        <v>13</v>
      </c>
      <c r="M4" s="227" t="s">
        <v>14</v>
      </c>
      <c r="N4" s="227" t="s">
        <v>15</v>
      </c>
      <c r="O4" s="235" t="s">
        <v>16</v>
      </c>
      <c r="P4" s="235" t="s">
        <v>17</v>
      </c>
      <c r="Q4" s="227" t="s">
        <v>18</v>
      </c>
      <c r="R4" s="227"/>
      <c r="S4" s="227" t="s">
        <v>19</v>
      </c>
      <c r="T4" s="228" t="s">
        <v>20</v>
      </c>
      <c r="U4" s="228" t="s">
        <v>21</v>
      </c>
      <c r="V4" s="230" t="s">
        <v>22</v>
      </c>
      <c r="W4" s="232" t="s">
        <v>23</v>
      </c>
      <c r="X4" s="233"/>
      <c r="Y4" s="233"/>
      <c r="Z4" s="233"/>
      <c r="AA4" s="233"/>
      <c r="AB4" s="233"/>
      <c r="AC4" s="234"/>
    </row>
    <row r="5" spans="1:29" ht="21.95" customHeight="1">
      <c r="A5" s="226"/>
      <c r="B5" s="226"/>
      <c r="C5" s="226"/>
      <c r="D5" s="226"/>
      <c r="E5" s="226"/>
      <c r="F5" s="226"/>
      <c r="G5" s="227"/>
      <c r="H5" s="227"/>
      <c r="I5" s="227"/>
      <c r="J5" s="227"/>
      <c r="K5" s="227"/>
      <c r="L5" s="227"/>
      <c r="M5" s="227"/>
      <c r="N5" s="227"/>
      <c r="O5" s="236"/>
      <c r="P5" s="236"/>
      <c r="Q5" s="17" t="s">
        <v>24</v>
      </c>
      <c r="R5" s="167" t="s">
        <v>25</v>
      </c>
      <c r="S5" s="227"/>
      <c r="T5" s="229"/>
      <c r="U5" s="229"/>
      <c r="V5" s="231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239" t="s">
        <v>34</v>
      </c>
      <c r="D6" s="239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239" t="s">
        <v>34</v>
      </c>
      <c r="D7" s="239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239" t="s">
        <v>34</v>
      </c>
      <c r="D8" s="239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239" t="s">
        <v>34</v>
      </c>
      <c r="D9" s="239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26" t="s">
        <v>34</v>
      </c>
      <c r="D10" s="226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26" t="s">
        <v>34</v>
      </c>
      <c r="D11" s="226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26" t="s">
        <v>34</v>
      </c>
      <c r="D12" s="226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26" t="s">
        <v>34</v>
      </c>
      <c r="D13" s="226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237" t="s">
        <v>313</v>
      </c>
      <c r="D14" s="238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237" t="s">
        <v>313</v>
      </c>
      <c r="D15" s="238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237" t="s">
        <v>44</v>
      </c>
      <c r="D16" s="238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237" t="s">
        <v>44</v>
      </c>
      <c r="D17" s="238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237" t="s">
        <v>44</v>
      </c>
      <c r="D18" s="238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26" t="s">
        <v>45</v>
      </c>
      <c r="D19" s="226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26" t="s">
        <v>46</v>
      </c>
      <c r="D20" s="226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26" t="s">
        <v>48</v>
      </c>
      <c r="D21" s="226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26" t="s">
        <v>50</v>
      </c>
      <c r="D22" s="226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26" t="s">
        <v>50</v>
      </c>
      <c r="D23" s="226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26" t="s">
        <v>50</v>
      </c>
      <c r="D24" s="226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26" t="s">
        <v>51</v>
      </c>
      <c r="D25" s="226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26" t="s">
        <v>51</v>
      </c>
      <c r="D26" s="226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26" t="s">
        <v>51</v>
      </c>
      <c r="D27" s="226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26" t="s">
        <v>51</v>
      </c>
      <c r="D28" s="226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239" t="s">
        <v>51</v>
      </c>
      <c r="D29" s="239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26" t="s">
        <v>53</v>
      </c>
      <c r="D30" s="226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26" t="s">
        <v>53</v>
      </c>
      <c r="D31" s="226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26" t="s">
        <v>53</v>
      </c>
      <c r="D32" s="226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26" t="s">
        <v>56</v>
      </c>
      <c r="D33" s="226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26" t="s">
        <v>56</v>
      </c>
      <c r="D34" s="226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26" t="s">
        <v>56</v>
      </c>
      <c r="D35" s="226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26" t="s">
        <v>56</v>
      </c>
      <c r="D36" s="226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26" t="s">
        <v>58</v>
      </c>
      <c r="D37" s="226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237" t="s">
        <v>304</v>
      </c>
      <c r="D38" s="238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237" t="s">
        <v>304</v>
      </c>
      <c r="D39" s="238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237" t="s">
        <v>304</v>
      </c>
      <c r="D40" s="238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26" t="s">
        <v>61</v>
      </c>
      <c r="D41" s="226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26" t="s">
        <v>61</v>
      </c>
      <c r="D42" s="226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26" t="s">
        <v>61</v>
      </c>
      <c r="D43" s="226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26" t="s">
        <v>64</v>
      </c>
      <c r="D44" s="226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26" t="s">
        <v>64</v>
      </c>
      <c r="D45" s="226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237" t="s">
        <v>68</v>
      </c>
      <c r="D46" s="238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237" t="s">
        <v>68</v>
      </c>
      <c r="D47" s="238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237" t="s">
        <v>68</v>
      </c>
      <c r="D48" s="238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237" t="s">
        <v>68</v>
      </c>
      <c r="D49" s="238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26" t="s">
        <v>73</v>
      </c>
      <c r="D50" s="226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26" t="s">
        <v>73</v>
      </c>
      <c r="D51" s="226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26" t="s">
        <v>73</v>
      </c>
      <c r="D52" s="226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26" t="s">
        <v>73</v>
      </c>
      <c r="D53" s="226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26" t="s">
        <v>75</v>
      </c>
      <c r="D54" s="226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26" t="s">
        <v>75</v>
      </c>
      <c r="D55" s="226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26" t="s">
        <v>75</v>
      </c>
      <c r="D56" s="226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239" t="s">
        <v>75</v>
      </c>
      <c r="D57" s="239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26" t="s">
        <v>77</v>
      </c>
      <c r="D58" s="226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26" t="s">
        <v>77</v>
      </c>
      <c r="D59" s="226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237" t="s">
        <v>301</v>
      </c>
      <c r="D60" s="238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237" t="s">
        <v>301</v>
      </c>
      <c r="D61" s="238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26" t="s">
        <v>81</v>
      </c>
      <c r="D62" s="226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26" t="s">
        <v>81</v>
      </c>
      <c r="D63" s="226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237" t="s">
        <v>83</v>
      </c>
      <c r="D64" s="238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237" t="s">
        <v>83</v>
      </c>
      <c r="D65" s="238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237" t="s">
        <v>83</v>
      </c>
      <c r="D66" s="238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237" t="s">
        <v>86</v>
      </c>
      <c r="D67" s="238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237" t="s">
        <v>86</v>
      </c>
      <c r="D68" s="238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237" t="s">
        <v>86</v>
      </c>
      <c r="D69" s="238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26" t="s">
        <v>88</v>
      </c>
      <c r="D70" s="226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26" t="s">
        <v>88</v>
      </c>
      <c r="D71" s="226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26" t="s">
        <v>88</v>
      </c>
      <c r="D72" s="226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26" t="s">
        <v>88</v>
      </c>
      <c r="D73" s="226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0" t="s">
        <v>90</v>
      </c>
      <c r="D74" s="241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26" t="s">
        <v>91</v>
      </c>
      <c r="D75" s="226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26" t="s">
        <v>93</v>
      </c>
      <c r="D76" s="226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26" t="s">
        <v>95</v>
      </c>
      <c r="D77" s="226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26" t="s">
        <v>93</v>
      </c>
      <c r="D78" s="226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26" t="s">
        <v>98</v>
      </c>
      <c r="D79" s="226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26" t="s">
        <v>98</v>
      </c>
      <c r="D80" s="226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26" t="s">
        <v>98</v>
      </c>
      <c r="D81" s="226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26" t="s">
        <v>98</v>
      </c>
      <c r="D82" s="226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239" t="s">
        <v>98</v>
      </c>
      <c r="D83" s="239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26" t="s">
        <v>100</v>
      </c>
      <c r="D84" s="226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26" t="s">
        <v>100</v>
      </c>
      <c r="D85" s="226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26" t="s">
        <v>100</v>
      </c>
      <c r="D86" s="226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26" t="s">
        <v>100</v>
      </c>
      <c r="D87" s="226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26" t="s">
        <v>106</v>
      </c>
      <c r="D88" s="226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26" t="s">
        <v>106</v>
      </c>
      <c r="D89" s="226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26" t="s">
        <v>106</v>
      </c>
      <c r="D90" s="226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26" t="s">
        <v>106</v>
      </c>
      <c r="D91" s="226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26" t="s">
        <v>107</v>
      </c>
      <c r="D92" s="226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26" t="s">
        <v>107</v>
      </c>
      <c r="D93" s="226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26" t="s">
        <v>107</v>
      </c>
      <c r="D94" s="226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26" t="s">
        <v>107</v>
      </c>
      <c r="D95" s="226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26" t="s">
        <v>107</v>
      </c>
      <c r="D96" s="226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40" t="s">
        <v>109</v>
      </c>
      <c r="D97" s="241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26" t="s">
        <v>110</v>
      </c>
      <c r="D98" s="226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26" t="s">
        <v>110</v>
      </c>
      <c r="D99" s="226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26" t="s">
        <v>112</v>
      </c>
      <c r="D100" s="226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26" t="s">
        <v>112</v>
      </c>
      <c r="D101" s="226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26" t="s">
        <v>112</v>
      </c>
      <c r="D102" s="226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237" t="s">
        <v>296</v>
      </c>
      <c r="D103" s="238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237" t="s">
        <v>296</v>
      </c>
      <c r="D104" s="238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237" t="s">
        <v>296</v>
      </c>
      <c r="D105" s="238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240" t="s">
        <v>114</v>
      </c>
      <c r="D106" s="241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240" t="s">
        <v>114</v>
      </c>
      <c r="D107" s="241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240" t="s">
        <v>305</v>
      </c>
      <c r="D108" s="241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240" t="s">
        <v>305</v>
      </c>
      <c r="D109" s="241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240" t="s">
        <v>305</v>
      </c>
      <c r="D110" s="241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26" t="s">
        <v>119</v>
      </c>
      <c r="D111" s="226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26" t="s">
        <v>119</v>
      </c>
      <c r="D112" s="226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26" t="s">
        <v>121</v>
      </c>
      <c r="D113" s="226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26" t="s">
        <v>121</v>
      </c>
      <c r="D114" s="226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26" t="s">
        <v>121</v>
      </c>
      <c r="D115" s="226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26" t="s">
        <v>123</v>
      </c>
      <c r="D116" s="226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26" t="s">
        <v>125</v>
      </c>
      <c r="D117" s="226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26" t="s">
        <v>123</v>
      </c>
      <c r="D118" s="226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26" t="s">
        <v>123</v>
      </c>
      <c r="D119" s="226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26" t="s">
        <v>123</v>
      </c>
      <c r="D120" s="226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26" t="s">
        <v>127</v>
      </c>
      <c r="D121" s="226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26" t="s">
        <v>127</v>
      </c>
      <c r="D122" s="226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26" t="s">
        <v>127</v>
      </c>
      <c r="D123" s="226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26" t="s">
        <v>127</v>
      </c>
      <c r="D124" s="226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26" t="s">
        <v>127</v>
      </c>
      <c r="D125" s="226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26" t="s">
        <v>128</v>
      </c>
      <c r="D126" s="226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26" t="s">
        <v>128</v>
      </c>
      <c r="D127" s="226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26" t="s">
        <v>128</v>
      </c>
      <c r="D128" s="226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26" t="s">
        <v>128</v>
      </c>
      <c r="D129" s="226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237" t="s">
        <v>129</v>
      </c>
      <c r="D130" s="238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237" t="s">
        <v>129</v>
      </c>
      <c r="D131" s="238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26" t="s">
        <v>130</v>
      </c>
      <c r="D132" s="226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26" t="s">
        <v>130</v>
      </c>
      <c r="D133" s="226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26" t="s">
        <v>130</v>
      </c>
      <c r="D134" s="226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26" t="s">
        <v>130</v>
      </c>
      <c r="D135" s="226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26" t="s">
        <v>130</v>
      </c>
      <c r="D136" s="226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26" t="s">
        <v>134</v>
      </c>
      <c r="D137" s="226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26" t="s">
        <v>134</v>
      </c>
      <c r="D138" s="226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237" t="s">
        <v>137</v>
      </c>
      <c r="D139" s="238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237" t="s">
        <v>137</v>
      </c>
      <c r="D140" s="238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26" t="s">
        <v>139</v>
      </c>
      <c r="D141" s="226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26" t="s">
        <v>141</v>
      </c>
      <c r="D142" s="226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26" t="s">
        <v>143</v>
      </c>
      <c r="D143" s="226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26" t="s">
        <v>143</v>
      </c>
      <c r="D144" s="226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26" t="s">
        <v>143</v>
      </c>
      <c r="D145" s="226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26" t="s">
        <v>145</v>
      </c>
      <c r="D146" s="226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26" t="s">
        <v>145</v>
      </c>
      <c r="D147" s="226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26" t="s">
        <v>145</v>
      </c>
      <c r="D148" s="226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237" t="s">
        <v>145</v>
      </c>
      <c r="D149" s="238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242" t="s">
        <v>148</v>
      </c>
      <c r="D150" s="243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242" t="s">
        <v>148</v>
      </c>
      <c r="D151" s="243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242" t="s">
        <v>148</v>
      </c>
      <c r="D152" s="243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242" t="s">
        <v>150</v>
      </c>
      <c r="D153" s="243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242" t="s">
        <v>150</v>
      </c>
      <c r="D154" s="243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242" t="s">
        <v>150</v>
      </c>
      <c r="D155" s="243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242" t="s">
        <v>150</v>
      </c>
      <c r="D156" s="243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237" t="s">
        <v>153</v>
      </c>
      <c r="D157" s="238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237" t="s">
        <v>153</v>
      </c>
      <c r="D158" s="238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237" t="s">
        <v>153</v>
      </c>
      <c r="D159" s="238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237" t="s">
        <v>153</v>
      </c>
      <c r="D160" s="238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44" t="s">
        <v>154</v>
      </c>
      <c r="D161" s="245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44" t="s">
        <v>154</v>
      </c>
      <c r="D162" s="245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44" t="s">
        <v>154</v>
      </c>
      <c r="D163" s="245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44" t="s">
        <v>154</v>
      </c>
      <c r="D164" s="245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246" t="s">
        <v>155</v>
      </c>
      <c r="D165" s="247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246" t="s">
        <v>155</v>
      </c>
      <c r="D166" s="247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246" t="s">
        <v>155</v>
      </c>
      <c r="D167" s="247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26" t="s">
        <v>156</v>
      </c>
      <c r="D168" s="226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26" t="s">
        <v>157</v>
      </c>
      <c r="D169" s="226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26" t="s">
        <v>157</v>
      </c>
      <c r="D170" s="226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26" t="s">
        <v>159</v>
      </c>
      <c r="D171" s="226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26" t="s">
        <v>159</v>
      </c>
      <c r="D172" s="226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26" t="s">
        <v>159</v>
      </c>
      <c r="D173" s="226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26" t="s">
        <v>159</v>
      </c>
      <c r="D174" s="226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26" t="s">
        <v>161</v>
      </c>
      <c r="D175" s="226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26" t="s">
        <v>161</v>
      </c>
      <c r="D176" s="226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26" t="s">
        <v>162</v>
      </c>
      <c r="D177" s="226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26" t="s">
        <v>162</v>
      </c>
      <c r="D178" s="226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26" t="s">
        <v>162</v>
      </c>
      <c r="D179" s="226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26" t="s">
        <v>162</v>
      </c>
      <c r="D180" s="226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26" t="s">
        <v>165</v>
      </c>
      <c r="D181" s="226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26" t="s">
        <v>165</v>
      </c>
      <c r="D182" s="226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26" t="s">
        <v>165</v>
      </c>
      <c r="D183" s="226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26" t="s">
        <v>165</v>
      </c>
      <c r="D184" s="226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26" t="s">
        <v>165</v>
      </c>
      <c r="D185" s="226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26" t="s">
        <v>165</v>
      </c>
      <c r="D186" s="226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237" t="s">
        <v>168</v>
      </c>
      <c r="D187" s="238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237" t="s">
        <v>168</v>
      </c>
      <c r="D188" s="238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237" t="s">
        <v>168</v>
      </c>
      <c r="D189" s="238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237" t="s">
        <v>168</v>
      </c>
      <c r="D190" s="238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26" t="s">
        <v>312</v>
      </c>
      <c r="D191" s="226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26" t="s">
        <v>312</v>
      </c>
      <c r="D192" s="226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26" t="s">
        <v>312</v>
      </c>
      <c r="D193" s="226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26" t="s">
        <v>312</v>
      </c>
      <c r="D194" s="226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237" t="s">
        <v>172</v>
      </c>
      <c r="D195" s="238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237" t="s">
        <v>172</v>
      </c>
      <c r="D196" s="238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237" t="s">
        <v>172</v>
      </c>
      <c r="D197" s="238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237" t="s">
        <v>172</v>
      </c>
      <c r="D198" s="238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27" t="s">
        <v>175</v>
      </c>
      <c r="B199" s="227"/>
      <c r="C199" s="227"/>
      <c r="D199" s="227"/>
      <c r="E199" s="227"/>
      <c r="F199" s="227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48" t="s">
        <v>176</v>
      </c>
      <c r="L200" s="249"/>
      <c r="M200" s="249"/>
      <c r="N200" s="250"/>
      <c r="O200" s="251" t="str">
        <f>IF(ISERROR(P199/R199),"",P199/R199)</f>
        <v/>
      </c>
      <c r="P200" s="252"/>
      <c r="Q200" s="252"/>
      <c r="R200" s="253"/>
      <c r="S200" s="44"/>
      <c r="T200" s="45"/>
      <c r="U200" s="45"/>
      <c r="V200" s="45"/>
      <c r="W200" s="254">
        <f>SUM(W199:AC199)</f>
        <v>0</v>
      </c>
      <c r="X200" s="255"/>
      <c r="Y200" s="255"/>
      <c r="Z200" s="255"/>
      <c r="AA200" s="255"/>
      <c r="AB200" s="255"/>
      <c r="AC200" s="256"/>
    </row>
    <row r="201" spans="1:29" ht="21.95" customHeight="1">
      <c r="A201" s="257" t="s">
        <v>177</v>
      </c>
      <c r="B201" s="257"/>
      <c r="C201" s="257" t="s">
        <v>178</v>
      </c>
      <c r="D201" s="257"/>
      <c r="E201" s="257" t="s">
        <v>179</v>
      </c>
      <c r="F201" s="257"/>
      <c r="G201" s="257" t="s">
        <v>180</v>
      </c>
      <c r="H201" s="257"/>
      <c r="I201" s="257" t="s">
        <v>181</v>
      </c>
      <c r="J201" s="257"/>
      <c r="K201" s="257" t="s">
        <v>182</v>
      </c>
      <c r="L201" s="257"/>
      <c r="M201" s="244" t="s">
        <v>183</v>
      </c>
      <c r="N201" s="245"/>
      <c r="O201" s="260" t="s">
        <v>184</v>
      </c>
      <c r="P201" s="260"/>
      <c r="Q201" s="258" t="s">
        <v>185</v>
      </c>
      <c r="R201" s="258"/>
      <c r="S201" s="258" t="s">
        <v>186</v>
      </c>
      <c r="T201" s="258"/>
      <c r="U201" s="258" t="s">
        <v>187</v>
      </c>
      <c r="V201" s="258"/>
      <c r="W201" s="258" t="s">
        <v>188</v>
      </c>
      <c r="X201" s="258"/>
      <c r="Y201" s="258" t="s">
        <v>189</v>
      </c>
      <c r="Z201" s="258"/>
      <c r="AA201" s="258" t="s">
        <v>190</v>
      </c>
      <c r="AB201" s="258"/>
      <c r="AC201" s="258"/>
    </row>
    <row r="202" spans="1:29" ht="21.95" customHeight="1">
      <c r="A202" s="257"/>
      <c r="B202" s="257"/>
      <c r="C202" s="257" t="s">
        <v>191</v>
      </c>
      <c r="D202" s="257"/>
      <c r="E202" s="257"/>
      <c r="F202" s="257"/>
      <c r="G202" s="257"/>
      <c r="H202" s="257"/>
      <c r="I202" s="257">
        <f>G202-E202</f>
        <v>0</v>
      </c>
      <c r="J202" s="257"/>
      <c r="K202" s="259" t="str">
        <f t="array" ref="K202">IF(ISERROR(I202/E202),"",I202/E202)</f>
        <v/>
      </c>
      <c r="L202" s="259"/>
      <c r="M202" s="244"/>
      <c r="N202" s="245"/>
      <c r="O202" s="260"/>
      <c r="P202" s="260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</row>
    <row r="203" spans="1:29" ht="21.95" customHeight="1">
      <c r="A203" s="257"/>
      <c r="B203" s="257"/>
      <c r="C203" s="257" t="s">
        <v>192</v>
      </c>
      <c r="D203" s="257"/>
      <c r="E203" s="257"/>
      <c r="F203" s="257"/>
      <c r="G203" s="257"/>
      <c r="H203" s="257"/>
      <c r="I203" s="257">
        <f>G203-E203</f>
        <v>0</v>
      </c>
      <c r="J203" s="257"/>
      <c r="K203" s="259" t="str">
        <f t="array" ref="K203">IF(ISERROR(I203/E203),"",I203/E203)</f>
        <v/>
      </c>
      <c r="L203" s="259"/>
      <c r="M203" s="244"/>
      <c r="N203" s="245"/>
      <c r="O203" s="260"/>
      <c r="P203" s="260"/>
      <c r="Q203" s="261" t="s">
        <v>193</v>
      </c>
      <c r="R203" s="261"/>
      <c r="S203" s="262"/>
      <c r="T203" s="262"/>
      <c r="U203" s="262"/>
      <c r="V203" s="262"/>
      <c r="W203" s="261">
        <f t="shared" ref="W203:W210" si="28">S203*11</f>
        <v>0</v>
      </c>
      <c r="X203" s="261"/>
      <c r="Y203" s="261">
        <f t="shared" ref="Y203:Y210" si="29">U203*11</f>
        <v>0</v>
      </c>
      <c r="Z203" s="261"/>
      <c r="AA203" s="261">
        <f t="shared" ref="AA203:AA210" si="30">Y203-W203</f>
        <v>0</v>
      </c>
      <c r="AB203" s="261"/>
      <c r="AC203" s="261"/>
    </row>
    <row r="204" spans="1:29" ht="21.95" customHeight="1">
      <c r="A204" s="257"/>
      <c r="B204" s="257"/>
      <c r="C204" s="257" t="s">
        <v>194</v>
      </c>
      <c r="D204" s="257"/>
      <c r="E204" s="257"/>
      <c r="F204" s="257"/>
      <c r="G204" s="257"/>
      <c r="H204" s="257"/>
      <c r="I204" s="257">
        <f>G204-E204</f>
        <v>0</v>
      </c>
      <c r="J204" s="257"/>
      <c r="K204" s="259" t="str">
        <f t="array" ref="K204">IF(ISERROR(I204/E204),"",I204/E204)</f>
        <v/>
      </c>
      <c r="L204" s="259"/>
      <c r="M204" s="244"/>
      <c r="N204" s="245"/>
      <c r="O204" s="260"/>
      <c r="P204" s="260"/>
      <c r="Q204" s="261" t="s">
        <v>195</v>
      </c>
      <c r="R204" s="261"/>
      <c r="S204" s="262"/>
      <c r="T204" s="262"/>
      <c r="U204" s="262"/>
      <c r="V204" s="262"/>
      <c r="W204" s="261">
        <f t="shared" si="28"/>
        <v>0</v>
      </c>
      <c r="X204" s="261"/>
      <c r="Y204" s="261">
        <f t="shared" si="29"/>
        <v>0</v>
      </c>
      <c r="Z204" s="261"/>
      <c r="AA204" s="261">
        <f t="shared" si="30"/>
        <v>0</v>
      </c>
      <c r="AB204" s="261"/>
      <c r="AC204" s="261"/>
    </row>
    <row r="205" spans="1:29" ht="21.95" customHeight="1">
      <c r="A205" s="285" t="s">
        <v>196</v>
      </c>
      <c r="B205" s="286"/>
      <c r="C205" s="276" t="s">
        <v>197</v>
      </c>
      <c r="D205" s="277"/>
      <c r="E205" s="277"/>
      <c r="F205" s="278"/>
      <c r="G205" s="291" t="s">
        <v>198</v>
      </c>
      <c r="H205" s="291"/>
      <c r="I205" s="269" t="s">
        <v>199</v>
      </c>
      <c r="J205" s="270"/>
      <c r="K205" s="269" t="s">
        <v>200</v>
      </c>
      <c r="L205" s="270"/>
      <c r="M205" s="269" t="s">
        <v>201</v>
      </c>
      <c r="N205" s="270"/>
      <c r="O205" s="260"/>
      <c r="P205" s="260"/>
      <c r="Q205" s="261" t="s">
        <v>202</v>
      </c>
      <c r="R205" s="261"/>
      <c r="S205" s="262"/>
      <c r="T205" s="262"/>
      <c r="U205" s="262"/>
      <c r="V205" s="262"/>
      <c r="W205" s="261">
        <f t="shared" si="28"/>
        <v>0</v>
      </c>
      <c r="X205" s="261"/>
      <c r="Y205" s="261">
        <f t="shared" si="29"/>
        <v>0</v>
      </c>
      <c r="Z205" s="261"/>
      <c r="AA205" s="261">
        <f t="shared" si="30"/>
        <v>0</v>
      </c>
      <c r="AB205" s="261"/>
      <c r="AC205" s="261"/>
    </row>
    <row r="206" spans="1:29" ht="21.95" customHeight="1">
      <c r="A206" s="287"/>
      <c r="B206" s="288"/>
      <c r="C206" s="36" t="s">
        <v>203</v>
      </c>
      <c r="D206" s="37" t="s">
        <v>204</v>
      </c>
      <c r="E206" s="38"/>
      <c r="F206" s="176">
        <v>5</v>
      </c>
      <c r="G206" s="263"/>
      <c r="H206" s="264"/>
      <c r="I206" s="265"/>
      <c r="J206" s="266"/>
      <c r="K206" s="267">
        <f>G206-I206</f>
        <v>0</v>
      </c>
      <c r="L206" s="267"/>
      <c r="M206" s="268" t="str">
        <f t="array" ref="M206">IF(ISERROR(K206/L199),"",K206/(L199/1000))</f>
        <v/>
      </c>
      <c r="N206" s="268"/>
      <c r="O206" s="260"/>
      <c r="P206" s="260"/>
      <c r="Q206" s="261" t="s">
        <v>205</v>
      </c>
      <c r="R206" s="261"/>
      <c r="S206" s="262"/>
      <c r="T206" s="262"/>
      <c r="U206" s="262"/>
      <c r="V206" s="262"/>
      <c r="W206" s="261">
        <f t="shared" si="28"/>
        <v>0</v>
      </c>
      <c r="X206" s="261"/>
      <c r="Y206" s="261">
        <f t="shared" si="29"/>
        <v>0</v>
      </c>
      <c r="Z206" s="261"/>
      <c r="AA206" s="261">
        <f t="shared" si="30"/>
        <v>0</v>
      </c>
      <c r="AB206" s="261"/>
      <c r="AC206" s="261"/>
    </row>
    <row r="207" spans="1:29" ht="21.95" customHeight="1">
      <c r="A207" s="287"/>
      <c r="B207" s="288"/>
      <c r="C207" s="36" t="s">
        <v>206</v>
      </c>
      <c r="D207" s="37" t="s">
        <v>207</v>
      </c>
      <c r="E207" s="38"/>
      <c r="F207" s="176">
        <v>105</v>
      </c>
      <c r="G207" s="263"/>
      <c r="H207" s="264"/>
      <c r="I207" s="265"/>
      <c r="J207" s="266"/>
      <c r="K207" s="267">
        <f>G207-I207</f>
        <v>0</v>
      </c>
      <c r="L207" s="267"/>
      <c r="M207" s="268" t="str">
        <f t="array" ref="M207">IF(ISERROR(K207/L199),"",K207/(L199/1000))</f>
        <v/>
      </c>
      <c r="N207" s="268"/>
      <c r="O207" s="260"/>
      <c r="P207" s="260"/>
      <c r="Q207" s="261" t="s">
        <v>208</v>
      </c>
      <c r="R207" s="261"/>
      <c r="S207" s="262"/>
      <c r="T207" s="262"/>
      <c r="U207" s="262"/>
      <c r="V207" s="262"/>
      <c r="W207" s="261">
        <f t="shared" si="28"/>
        <v>0</v>
      </c>
      <c r="X207" s="261"/>
      <c r="Y207" s="261">
        <f t="shared" si="29"/>
        <v>0</v>
      </c>
      <c r="Z207" s="261"/>
      <c r="AA207" s="261">
        <f t="shared" si="30"/>
        <v>0</v>
      </c>
      <c r="AB207" s="261"/>
      <c r="AC207" s="261"/>
    </row>
    <row r="208" spans="1:29" ht="21.95" customHeight="1">
      <c r="A208" s="287"/>
      <c r="B208" s="288"/>
      <c r="C208" s="36" t="s">
        <v>209</v>
      </c>
      <c r="D208" s="37" t="s">
        <v>210</v>
      </c>
      <c r="E208" s="38"/>
      <c r="F208" s="176">
        <v>0.55000000000000004</v>
      </c>
      <c r="G208" s="263"/>
      <c r="H208" s="264"/>
      <c r="I208" s="269"/>
      <c r="J208" s="270"/>
      <c r="K208" s="267">
        <f>G208-I208</f>
        <v>0</v>
      </c>
      <c r="L208" s="267"/>
      <c r="M208" s="271" t="str">
        <f t="array" ref="M208">IF(ISERROR(K208/L199),"",K208/(L199/1000))</f>
        <v/>
      </c>
      <c r="N208" s="271"/>
      <c r="O208" s="260"/>
      <c r="P208" s="260"/>
      <c r="Q208" s="261" t="s">
        <v>211</v>
      </c>
      <c r="R208" s="261"/>
      <c r="S208" s="262"/>
      <c r="T208" s="262"/>
      <c r="U208" s="262"/>
      <c r="V208" s="262"/>
      <c r="W208" s="261">
        <f t="shared" si="28"/>
        <v>0</v>
      </c>
      <c r="X208" s="261"/>
      <c r="Y208" s="261">
        <f t="shared" si="29"/>
        <v>0</v>
      </c>
      <c r="Z208" s="261"/>
      <c r="AA208" s="261">
        <f t="shared" si="30"/>
        <v>0</v>
      </c>
      <c r="AB208" s="261"/>
      <c r="AC208" s="261"/>
    </row>
    <row r="209" spans="1:29" ht="21.95" customHeight="1">
      <c r="A209" s="287"/>
      <c r="B209" s="288"/>
      <c r="C209" s="39" t="s">
        <v>212</v>
      </c>
      <c r="D209" s="276" t="s">
        <v>213</v>
      </c>
      <c r="E209" s="277"/>
      <c r="F209" s="277"/>
      <c r="G209" s="277"/>
      <c r="H209" s="277"/>
      <c r="I209" s="277"/>
      <c r="J209" s="278"/>
      <c r="K209" s="269"/>
      <c r="L209" s="270"/>
      <c r="M209" s="272" t="str">
        <f t="array" ref="M209">IF(ISERROR((K209+K210)/L199),"",((K209+K210)*1000)/(L199/1000))</f>
        <v/>
      </c>
      <c r="N209" s="273"/>
      <c r="O209" s="260"/>
      <c r="P209" s="260"/>
      <c r="Q209" s="261" t="s">
        <v>214</v>
      </c>
      <c r="R209" s="261"/>
      <c r="S209" s="262"/>
      <c r="T209" s="262"/>
      <c r="U209" s="262"/>
      <c r="V209" s="262"/>
      <c r="W209" s="261">
        <f t="shared" si="28"/>
        <v>0</v>
      </c>
      <c r="X209" s="261"/>
      <c r="Y209" s="261">
        <f t="shared" si="29"/>
        <v>0</v>
      </c>
      <c r="Z209" s="261"/>
      <c r="AA209" s="261">
        <f t="shared" si="30"/>
        <v>0</v>
      </c>
      <c r="AB209" s="261"/>
      <c r="AC209" s="261"/>
    </row>
    <row r="210" spans="1:29" ht="21.95" customHeight="1">
      <c r="A210" s="287"/>
      <c r="B210" s="288"/>
      <c r="C210" s="39" t="s">
        <v>212</v>
      </c>
      <c r="D210" s="276" t="s">
        <v>215</v>
      </c>
      <c r="E210" s="277"/>
      <c r="F210" s="277"/>
      <c r="G210" s="277"/>
      <c r="H210" s="277"/>
      <c r="I210" s="277"/>
      <c r="J210" s="278"/>
      <c r="K210" s="269"/>
      <c r="L210" s="270"/>
      <c r="M210" s="274"/>
      <c r="N210" s="275"/>
      <c r="O210" s="260"/>
      <c r="P210" s="260"/>
      <c r="Q210" s="261" t="s">
        <v>216</v>
      </c>
      <c r="R210" s="261"/>
      <c r="S210" s="262">
        <f>SUM(S203:T209)</f>
        <v>0</v>
      </c>
      <c r="T210" s="262"/>
      <c r="U210" s="262">
        <f>SUM(U203:V209)</f>
        <v>0</v>
      </c>
      <c r="V210" s="262"/>
      <c r="W210" s="261">
        <f t="shared" si="28"/>
        <v>0</v>
      </c>
      <c r="X210" s="261"/>
      <c r="Y210" s="261">
        <f t="shared" si="29"/>
        <v>0</v>
      </c>
      <c r="Z210" s="261"/>
      <c r="AA210" s="261">
        <f t="shared" si="30"/>
        <v>0</v>
      </c>
      <c r="AB210" s="261"/>
      <c r="AC210" s="261"/>
    </row>
    <row r="211" spans="1:29" ht="21.95" customHeight="1">
      <c r="A211" s="289"/>
      <c r="B211" s="290"/>
      <c r="C211" s="279" t="s">
        <v>217</v>
      </c>
      <c r="D211" s="279"/>
      <c r="E211" s="279"/>
      <c r="F211" s="279"/>
      <c r="G211" s="280" t="str">
        <f>IF(ISERROR(K208/K210),"",K208/K210)</f>
        <v/>
      </c>
      <c r="H211" s="281"/>
      <c r="I211" s="279" t="s">
        <v>218</v>
      </c>
      <c r="J211" s="279"/>
      <c r="K211" s="279"/>
      <c r="L211" s="279"/>
      <c r="M211" s="280" t="str">
        <f>IF(ISERROR(K208/K209),"",K208/K209)</f>
        <v/>
      </c>
      <c r="N211" s="281"/>
      <c r="O211" s="260"/>
      <c r="P211" s="260"/>
      <c r="Q211" s="258" t="s">
        <v>219</v>
      </c>
      <c r="R211" s="258"/>
      <c r="S211" s="282" t="str">
        <f t="array" ref="S211">IF(ISERROR(L199/Y210),"",L199/Y210)</f>
        <v/>
      </c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4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26" t="s">
        <v>3</v>
      </c>
      <c r="B213" s="226" t="s">
        <v>4</v>
      </c>
      <c r="C213" s="226" t="s">
        <v>5</v>
      </c>
      <c r="D213" s="226"/>
      <c r="E213" s="226" t="s">
        <v>6</v>
      </c>
      <c r="F213" s="226" t="s">
        <v>7</v>
      </c>
      <c r="G213" s="227" t="s">
        <v>8</v>
      </c>
      <c r="H213" s="227" t="s">
        <v>9</v>
      </c>
      <c r="I213" s="227" t="s">
        <v>10</v>
      </c>
      <c r="J213" s="227" t="s">
        <v>11</v>
      </c>
      <c r="K213" s="227" t="s">
        <v>12</v>
      </c>
      <c r="L213" s="227" t="s">
        <v>13</v>
      </c>
      <c r="M213" s="227" t="s">
        <v>14</v>
      </c>
      <c r="N213" s="227" t="s">
        <v>15</v>
      </c>
      <c r="O213" s="235" t="s">
        <v>16</v>
      </c>
      <c r="P213" s="235" t="s">
        <v>17</v>
      </c>
      <c r="Q213" s="227" t="s">
        <v>18</v>
      </c>
      <c r="R213" s="227"/>
      <c r="S213" s="227" t="s">
        <v>19</v>
      </c>
      <c r="T213" s="228" t="s">
        <v>20</v>
      </c>
      <c r="U213" s="228" t="s">
        <v>21</v>
      </c>
      <c r="V213" s="230" t="s">
        <v>22</v>
      </c>
      <c r="W213" s="232" t="s">
        <v>23</v>
      </c>
      <c r="X213" s="233"/>
      <c r="Y213" s="233"/>
      <c r="Z213" s="233"/>
      <c r="AA213" s="233"/>
      <c r="AB213" s="233"/>
      <c r="AC213" s="234"/>
    </row>
    <row r="214" spans="1:29" ht="21.95" customHeight="1">
      <c r="A214" s="226"/>
      <c r="B214" s="226"/>
      <c r="C214" s="226"/>
      <c r="D214" s="226"/>
      <c r="E214" s="226"/>
      <c r="F214" s="226"/>
      <c r="G214" s="227"/>
      <c r="H214" s="227"/>
      <c r="I214" s="227"/>
      <c r="J214" s="227"/>
      <c r="K214" s="227"/>
      <c r="L214" s="227"/>
      <c r="M214" s="227"/>
      <c r="N214" s="227"/>
      <c r="O214" s="236"/>
      <c r="P214" s="236"/>
      <c r="Q214" s="17" t="s">
        <v>24</v>
      </c>
      <c r="R214" s="167" t="s">
        <v>25</v>
      </c>
      <c r="S214" s="227"/>
      <c r="T214" s="229"/>
      <c r="U214" s="229"/>
      <c r="V214" s="231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239" t="s">
        <v>34</v>
      </c>
      <c r="D215" s="239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292" t="s">
        <v>34</v>
      </c>
      <c r="D216" s="292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292" t="s">
        <v>34</v>
      </c>
      <c r="D217" s="292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292" t="s">
        <v>34</v>
      </c>
      <c r="D218" s="292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292" t="s">
        <v>34</v>
      </c>
      <c r="D219" s="292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292" t="s">
        <v>34</v>
      </c>
      <c r="D220" s="292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292" t="s">
        <v>34</v>
      </c>
      <c r="D221" s="292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292" t="s">
        <v>34</v>
      </c>
      <c r="D222" s="292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237" t="s">
        <v>313</v>
      </c>
      <c r="D223" s="238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237" t="s">
        <v>313</v>
      </c>
      <c r="D224" s="238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237" t="s">
        <v>44</v>
      </c>
      <c r="D225" s="238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237" t="s">
        <v>44</v>
      </c>
      <c r="D226" s="238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237" t="s">
        <v>44</v>
      </c>
      <c r="D227" s="238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26" t="s">
        <v>45</v>
      </c>
      <c r="D228" s="226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26" t="s">
        <v>46</v>
      </c>
      <c r="D229" s="226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26" t="s">
        <v>48</v>
      </c>
      <c r="D230" s="226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26" t="s">
        <v>50</v>
      </c>
      <c r="D231" s="226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26" t="s">
        <v>50</v>
      </c>
      <c r="D232" s="226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26" t="s">
        <v>50</v>
      </c>
      <c r="D233" s="226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26" t="s">
        <v>51</v>
      </c>
      <c r="D234" s="226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26" t="s">
        <v>51</v>
      </c>
      <c r="D235" s="226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26" t="s">
        <v>51</v>
      </c>
      <c r="D236" s="226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26" t="s">
        <v>51</v>
      </c>
      <c r="D237" s="226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239" t="s">
        <v>51</v>
      </c>
      <c r="D238" s="239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26" t="s">
        <v>53</v>
      </c>
      <c r="D239" s="226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26" t="s">
        <v>53</v>
      </c>
      <c r="D240" s="226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26" t="s">
        <v>53</v>
      </c>
      <c r="D241" s="226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26" t="s">
        <v>56</v>
      </c>
      <c r="D242" s="226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26" t="s">
        <v>56</v>
      </c>
      <c r="D243" s="226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26" t="s">
        <v>56</v>
      </c>
      <c r="D244" s="226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26" t="s">
        <v>56</v>
      </c>
      <c r="D245" s="226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26" t="s">
        <v>58</v>
      </c>
      <c r="D246" s="226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237" t="s">
        <v>304</v>
      </c>
      <c r="D247" s="238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237" t="s">
        <v>304</v>
      </c>
      <c r="D248" s="238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237" t="s">
        <v>304</v>
      </c>
      <c r="D249" s="238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26" t="s">
        <v>61</v>
      </c>
      <c r="D250" s="226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26" t="s">
        <v>61</v>
      </c>
      <c r="D251" s="226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26" t="s">
        <v>61</v>
      </c>
      <c r="D252" s="226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26" t="s">
        <v>64</v>
      </c>
      <c r="D253" s="226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26" t="s">
        <v>64</v>
      </c>
      <c r="D254" s="226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237" t="s">
        <v>68</v>
      </c>
      <c r="D255" s="238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237" t="s">
        <v>68</v>
      </c>
      <c r="D256" s="238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237" t="s">
        <v>68</v>
      </c>
      <c r="D257" s="238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237" t="s">
        <v>68</v>
      </c>
      <c r="D258" s="238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26" t="s">
        <v>73</v>
      </c>
      <c r="D259" s="226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26" t="s">
        <v>73</v>
      </c>
      <c r="D260" s="226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26" t="s">
        <v>73</v>
      </c>
      <c r="D261" s="226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26" t="s">
        <v>73</v>
      </c>
      <c r="D262" s="226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26" t="s">
        <v>75</v>
      </c>
      <c r="D263" s="226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26" t="s">
        <v>75</v>
      </c>
      <c r="D264" s="226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26" t="s">
        <v>75</v>
      </c>
      <c r="D265" s="226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239" t="s">
        <v>75</v>
      </c>
      <c r="D266" s="239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26" t="s">
        <v>77</v>
      </c>
      <c r="D267" s="226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26" t="s">
        <v>77</v>
      </c>
      <c r="D268" s="226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237" t="s">
        <v>301</v>
      </c>
      <c r="D269" s="238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237" t="s">
        <v>301</v>
      </c>
      <c r="D270" s="238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26" t="s">
        <v>81</v>
      </c>
      <c r="D271" s="226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26" t="s">
        <v>81</v>
      </c>
      <c r="D272" s="226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237" t="s">
        <v>83</v>
      </c>
      <c r="D273" s="238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237" t="s">
        <v>83</v>
      </c>
      <c r="D274" s="238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237" t="s">
        <v>83</v>
      </c>
      <c r="D275" s="238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237" t="s">
        <v>86</v>
      </c>
      <c r="D276" s="238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237" t="s">
        <v>86</v>
      </c>
      <c r="D277" s="238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237" t="s">
        <v>86</v>
      </c>
      <c r="D278" s="238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26" t="s">
        <v>88</v>
      </c>
      <c r="D279" s="226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26" t="s">
        <v>88</v>
      </c>
      <c r="D280" s="226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26" t="s">
        <v>88</v>
      </c>
      <c r="D281" s="226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26" t="s">
        <v>88</v>
      </c>
      <c r="D282" s="226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237" t="s">
        <v>90</v>
      </c>
      <c r="D283" s="238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26" t="s">
        <v>91</v>
      </c>
      <c r="D284" s="226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26" t="s">
        <v>93</v>
      </c>
      <c r="D285" s="226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26" t="s">
        <v>95</v>
      </c>
      <c r="D286" s="226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26" t="s">
        <v>93</v>
      </c>
      <c r="D287" s="226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26" t="s">
        <v>98</v>
      </c>
      <c r="D288" s="226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26" t="s">
        <v>98</v>
      </c>
      <c r="D289" s="226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26" t="s">
        <v>98</v>
      </c>
      <c r="D290" s="226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26" t="s">
        <v>98</v>
      </c>
      <c r="D291" s="226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239" t="s">
        <v>98</v>
      </c>
      <c r="D292" s="239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26" t="s">
        <v>100</v>
      </c>
      <c r="D293" s="226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26" t="s">
        <v>100</v>
      </c>
      <c r="D294" s="226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26" t="s">
        <v>100</v>
      </c>
      <c r="D295" s="226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26" t="s">
        <v>100</v>
      </c>
      <c r="D296" s="226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26" t="s">
        <v>106</v>
      </c>
      <c r="D297" s="226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26" t="s">
        <v>106</v>
      </c>
      <c r="D298" s="226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26" t="s">
        <v>106</v>
      </c>
      <c r="D299" s="226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26" t="s">
        <v>106</v>
      </c>
      <c r="D300" s="226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26" t="s">
        <v>107</v>
      </c>
      <c r="D301" s="226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26" t="s">
        <v>107</v>
      </c>
      <c r="D302" s="226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26" t="s">
        <v>107</v>
      </c>
      <c r="D303" s="226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26" t="s">
        <v>107</v>
      </c>
      <c r="D304" s="226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26" t="s">
        <v>107</v>
      </c>
      <c r="D305" s="226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237" t="s">
        <v>109</v>
      </c>
      <c r="D306" s="238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26" t="s">
        <v>110</v>
      </c>
      <c r="D307" s="226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26" t="s">
        <v>110</v>
      </c>
      <c r="D308" s="226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26" t="s">
        <v>112</v>
      </c>
      <c r="D309" s="226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26" t="s">
        <v>112</v>
      </c>
      <c r="D310" s="226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26" t="s">
        <v>112</v>
      </c>
      <c r="D311" s="226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237" t="s">
        <v>296</v>
      </c>
      <c r="D312" s="238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237" t="s">
        <v>296</v>
      </c>
      <c r="D313" s="238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237" t="s">
        <v>296</v>
      </c>
      <c r="D314" s="238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237" t="s">
        <v>114</v>
      </c>
      <c r="D315" s="238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237" t="s">
        <v>114</v>
      </c>
      <c r="D316" s="238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240" t="s">
        <v>305</v>
      </c>
      <c r="D317" s="241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240" t="s">
        <v>305</v>
      </c>
      <c r="D318" s="241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240" t="s">
        <v>305</v>
      </c>
      <c r="D319" s="241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26" t="s">
        <v>119</v>
      </c>
      <c r="D320" s="226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26" t="s">
        <v>119</v>
      </c>
      <c r="D321" s="226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239" t="s">
        <v>121</v>
      </c>
      <c r="D322" s="239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239" t="s">
        <v>121</v>
      </c>
      <c r="D323" s="239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239" t="s">
        <v>121</v>
      </c>
      <c r="D324" s="239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26" t="s">
        <v>123</v>
      </c>
      <c r="D325" s="226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26" t="s">
        <v>125</v>
      </c>
      <c r="D326" s="226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26" t="s">
        <v>123</v>
      </c>
      <c r="D327" s="226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26" t="s">
        <v>123</v>
      </c>
      <c r="D328" s="226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26" t="s">
        <v>123</v>
      </c>
      <c r="D329" s="226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26" t="s">
        <v>127</v>
      </c>
      <c r="D330" s="226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26" t="s">
        <v>127</v>
      </c>
      <c r="D331" s="226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26" t="s">
        <v>127</v>
      </c>
      <c r="D332" s="226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26" t="s">
        <v>127</v>
      </c>
      <c r="D333" s="226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26" t="s">
        <v>127</v>
      </c>
      <c r="D334" s="226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26" t="s">
        <v>128</v>
      </c>
      <c r="D335" s="226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26" t="s">
        <v>128</v>
      </c>
      <c r="D336" s="226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26" t="s">
        <v>128</v>
      </c>
      <c r="D337" s="226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26" t="s">
        <v>128</v>
      </c>
      <c r="D338" s="226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237" t="s">
        <v>129</v>
      </c>
      <c r="D339" s="238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237" t="s">
        <v>129</v>
      </c>
      <c r="D340" s="238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26" t="s">
        <v>130</v>
      </c>
      <c r="D341" s="226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26" t="s">
        <v>130</v>
      </c>
      <c r="D342" s="226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26" t="s">
        <v>130</v>
      </c>
      <c r="D343" s="226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26" t="s">
        <v>130</v>
      </c>
      <c r="D344" s="226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26" t="s">
        <v>130</v>
      </c>
      <c r="D345" s="226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26" t="s">
        <v>134</v>
      </c>
      <c r="D346" s="226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26" t="s">
        <v>134</v>
      </c>
      <c r="D347" s="226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237" t="s">
        <v>137</v>
      </c>
      <c r="D348" s="238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237" t="s">
        <v>137</v>
      </c>
      <c r="D349" s="238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26" t="s">
        <v>139</v>
      </c>
      <c r="D350" s="226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26" t="s">
        <v>141</v>
      </c>
      <c r="D351" s="226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26" t="s">
        <v>143</v>
      </c>
      <c r="D352" s="226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26" t="s">
        <v>143</v>
      </c>
      <c r="D353" s="226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26" t="s">
        <v>143</v>
      </c>
      <c r="D354" s="226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26" t="s">
        <v>145</v>
      </c>
      <c r="D355" s="226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26" t="s">
        <v>145</v>
      </c>
      <c r="D356" s="226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26" t="s">
        <v>145</v>
      </c>
      <c r="D357" s="226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26" t="s">
        <v>145</v>
      </c>
      <c r="D358" s="226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237" t="s">
        <v>148</v>
      </c>
      <c r="D359" s="238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237" t="s">
        <v>148</v>
      </c>
      <c r="D360" s="238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237" t="s">
        <v>148</v>
      </c>
      <c r="D361" s="238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237" t="s">
        <v>150</v>
      </c>
      <c r="D362" s="238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237" t="s">
        <v>150</v>
      </c>
      <c r="D363" s="238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237" t="s">
        <v>150</v>
      </c>
      <c r="D364" s="238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237" t="s">
        <v>150</v>
      </c>
      <c r="D365" s="238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237" t="s">
        <v>153</v>
      </c>
      <c r="D366" s="238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237" t="s">
        <v>153</v>
      </c>
      <c r="D367" s="238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237" t="s">
        <v>153</v>
      </c>
      <c r="D368" s="238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237" t="s">
        <v>153</v>
      </c>
      <c r="D369" s="238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44" t="s">
        <v>154</v>
      </c>
      <c r="D370" s="245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44" t="s">
        <v>154</v>
      </c>
      <c r="D371" s="245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44" t="s">
        <v>154</v>
      </c>
      <c r="D372" s="245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44" t="s">
        <v>154</v>
      </c>
      <c r="D373" s="245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44" t="s">
        <v>155</v>
      </c>
      <c r="D374" s="245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44" t="s">
        <v>155</v>
      </c>
      <c r="D375" s="245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44" t="s">
        <v>155</v>
      </c>
      <c r="D376" s="245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26" t="s">
        <v>156</v>
      </c>
      <c r="D377" s="226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26" t="s">
        <v>157</v>
      </c>
      <c r="D378" s="226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26" t="s">
        <v>157</v>
      </c>
      <c r="D379" s="226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26" t="s">
        <v>159</v>
      </c>
      <c r="D380" s="226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26" t="s">
        <v>159</v>
      </c>
      <c r="D381" s="226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26" t="s">
        <v>159</v>
      </c>
      <c r="D382" s="226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26" t="s">
        <v>159</v>
      </c>
      <c r="D383" s="226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26" t="s">
        <v>161</v>
      </c>
      <c r="D384" s="226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26" t="s">
        <v>161</v>
      </c>
      <c r="D385" s="226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26" t="s">
        <v>162</v>
      </c>
      <c r="D386" s="226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26" t="s">
        <v>162</v>
      </c>
      <c r="D387" s="226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26" t="s">
        <v>162</v>
      </c>
      <c r="D388" s="226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26" t="s">
        <v>162</v>
      </c>
      <c r="D389" s="226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26" t="s">
        <v>165</v>
      </c>
      <c r="D390" s="226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26" t="s">
        <v>165</v>
      </c>
      <c r="D391" s="226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26" t="s">
        <v>165</v>
      </c>
      <c r="D392" s="226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26" t="s">
        <v>165</v>
      </c>
      <c r="D393" s="226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26" t="s">
        <v>165</v>
      </c>
      <c r="D394" s="226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26" t="s">
        <v>165</v>
      </c>
      <c r="D395" s="226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240" t="s">
        <v>168</v>
      </c>
      <c r="D396" s="241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240" t="s">
        <v>168</v>
      </c>
      <c r="D397" s="241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237" t="s">
        <v>168</v>
      </c>
      <c r="D398" s="238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237" t="s">
        <v>168</v>
      </c>
      <c r="D399" s="238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26" t="s">
        <v>312</v>
      </c>
      <c r="D400" s="226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26" t="s">
        <v>312</v>
      </c>
      <c r="D401" s="226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26" t="s">
        <v>312</v>
      </c>
      <c r="D402" s="226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26" t="s">
        <v>312</v>
      </c>
      <c r="D403" s="226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237" t="s">
        <v>172</v>
      </c>
      <c r="D404" s="238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237" t="s">
        <v>172</v>
      </c>
      <c r="D405" s="238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237" t="s">
        <v>172</v>
      </c>
      <c r="D406" s="238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237" t="s">
        <v>172</v>
      </c>
      <c r="D407" s="238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54" t="s">
        <v>175</v>
      </c>
      <c r="B408" s="255"/>
      <c r="C408" s="255"/>
      <c r="D408" s="255"/>
      <c r="E408" s="255"/>
      <c r="F408" s="256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93"/>
      <c r="B409" s="294"/>
      <c r="C409" s="294"/>
      <c r="D409" s="294"/>
      <c r="E409" s="294"/>
      <c r="F409" s="295"/>
      <c r="G409" s="55" t="s">
        <v>222</v>
      </c>
      <c r="H409" s="55"/>
      <c r="I409" s="55"/>
      <c r="J409" s="55"/>
      <c r="K409" s="296" t="s">
        <v>176</v>
      </c>
      <c r="L409" s="297"/>
      <c r="M409" s="297"/>
      <c r="N409" s="298"/>
      <c r="O409" s="251" t="str">
        <f t="array" ref="O409">IF(ISERROR(P408/R408),"",P408/R408)</f>
        <v/>
      </c>
      <c r="P409" s="252"/>
      <c r="Q409" s="252"/>
      <c r="R409" s="253"/>
      <c r="S409" s="44"/>
      <c r="T409" s="45"/>
      <c r="U409" s="45"/>
      <c r="V409" s="45"/>
      <c r="W409" s="254">
        <f>SUM(W408:AC408)</f>
        <v>0</v>
      </c>
      <c r="X409" s="255"/>
      <c r="Y409" s="255"/>
      <c r="Z409" s="255"/>
      <c r="AA409" s="255"/>
      <c r="AB409" s="255"/>
      <c r="AC409" s="256"/>
    </row>
    <row r="410" spans="1:29" ht="21.95" customHeight="1">
      <c r="A410" s="257" t="s">
        <v>177</v>
      </c>
      <c r="B410" s="257"/>
      <c r="C410" s="257" t="s">
        <v>178</v>
      </c>
      <c r="D410" s="257"/>
      <c r="E410" s="257" t="s">
        <v>179</v>
      </c>
      <c r="F410" s="257"/>
      <c r="G410" s="257" t="s">
        <v>180</v>
      </c>
      <c r="H410" s="257"/>
      <c r="I410" s="257" t="s">
        <v>181</v>
      </c>
      <c r="J410" s="257"/>
      <c r="K410" s="257" t="s">
        <v>182</v>
      </c>
      <c r="L410" s="257"/>
      <c r="M410" s="244" t="s">
        <v>183</v>
      </c>
      <c r="N410" s="245"/>
      <c r="O410" s="299" t="s">
        <v>184</v>
      </c>
      <c r="P410" s="299"/>
      <c r="Q410" s="258" t="s">
        <v>185</v>
      </c>
      <c r="R410" s="258"/>
      <c r="S410" s="258" t="s">
        <v>186</v>
      </c>
      <c r="T410" s="258"/>
      <c r="U410" s="258" t="s">
        <v>187</v>
      </c>
      <c r="V410" s="258"/>
      <c r="W410" s="258" t="s">
        <v>188</v>
      </c>
      <c r="X410" s="258"/>
      <c r="Y410" s="258" t="s">
        <v>189</v>
      </c>
      <c r="Z410" s="258"/>
      <c r="AA410" s="258" t="s">
        <v>190</v>
      </c>
      <c r="AB410" s="258"/>
      <c r="AC410" s="258"/>
    </row>
    <row r="411" spans="1:29" ht="21.95" customHeight="1">
      <c r="A411" s="257"/>
      <c r="B411" s="257"/>
      <c r="C411" s="257" t="s">
        <v>191</v>
      </c>
      <c r="D411" s="257"/>
      <c r="E411" s="257"/>
      <c r="F411" s="257"/>
      <c r="G411" s="257"/>
      <c r="H411" s="257"/>
      <c r="I411" s="257">
        <f>G411-E411</f>
        <v>0</v>
      </c>
      <c r="J411" s="257"/>
      <c r="K411" s="259" t="str">
        <f t="array" ref="K411">IF(ISERROR(I411/E411),"",I411/E411)</f>
        <v/>
      </c>
      <c r="L411" s="259"/>
      <c r="M411" s="244"/>
      <c r="N411" s="245"/>
      <c r="O411" s="299"/>
      <c r="P411" s="299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</row>
    <row r="412" spans="1:29" ht="21.95" customHeight="1">
      <c r="A412" s="257"/>
      <c r="B412" s="257"/>
      <c r="C412" s="257" t="s">
        <v>192</v>
      </c>
      <c r="D412" s="257"/>
      <c r="E412" s="257"/>
      <c r="F412" s="257"/>
      <c r="G412" s="257"/>
      <c r="H412" s="257"/>
      <c r="I412" s="257">
        <f>G412-E412</f>
        <v>0</v>
      </c>
      <c r="J412" s="257"/>
      <c r="K412" s="259" t="str">
        <f t="array" ref="K412">IF(ISERROR(I412/E412),"",I412/E412)</f>
        <v/>
      </c>
      <c r="L412" s="259"/>
      <c r="M412" s="244"/>
      <c r="N412" s="245"/>
      <c r="O412" s="299"/>
      <c r="P412" s="299"/>
      <c r="Q412" s="261" t="s">
        <v>193</v>
      </c>
      <c r="R412" s="261"/>
      <c r="S412" s="262"/>
      <c r="T412" s="262"/>
      <c r="U412" s="262"/>
      <c r="V412" s="262"/>
      <c r="W412" s="261">
        <f>S412*9</f>
        <v>0</v>
      </c>
      <c r="X412" s="261"/>
      <c r="Y412" s="261">
        <f>U412*9</f>
        <v>0</v>
      </c>
      <c r="Z412" s="261"/>
      <c r="AA412" s="261">
        <f t="shared" ref="AA412:AA419" si="59">Y412-W412</f>
        <v>0</v>
      </c>
      <c r="AB412" s="261"/>
      <c r="AC412" s="261"/>
    </row>
    <row r="413" spans="1:29" ht="21.95" customHeight="1">
      <c r="A413" s="257"/>
      <c r="B413" s="257"/>
      <c r="C413" s="257" t="s">
        <v>194</v>
      </c>
      <c r="D413" s="257"/>
      <c r="E413" s="257"/>
      <c r="F413" s="257"/>
      <c r="G413" s="257"/>
      <c r="H413" s="257"/>
      <c r="I413" s="257">
        <f>G413-E413</f>
        <v>0</v>
      </c>
      <c r="J413" s="257"/>
      <c r="K413" s="259" t="str">
        <f t="array" ref="K413">IF(ISERROR(I413/E413),"",I413/E413)</f>
        <v/>
      </c>
      <c r="L413" s="259"/>
      <c r="M413" s="244"/>
      <c r="N413" s="245"/>
      <c r="O413" s="299"/>
      <c r="P413" s="299"/>
      <c r="Q413" s="261" t="s">
        <v>195</v>
      </c>
      <c r="R413" s="261"/>
      <c r="S413" s="262"/>
      <c r="T413" s="262"/>
      <c r="U413" s="262"/>
      <c r="V413" s="262"/>
      <c r="W413" s="261">
        <f t="shared" ref="W413:W419" si="60">S413*9</f>
        <v>0</v>
      </c>
      <c r="X413" s="261"/>
      <c r="Y413" s="261">
        <f t="shared" ref="Y413:Y419" si="61">U413*9</f>
        <v>0</v>
      </c>
      <c r="Z413" s="261"/>
      <c r="AA413" s="261">
        <f t="shared" si="59"/>
        <v>0</v>
      </c>
      <c r="AB413" s="261"/>
      <c r="AC413" s="261"/>
    </row>
    <row r="414" spans="1:29" ht="21.95" customHeight="1">
      <c r="A414" s="285" t="s">
        <v>196</v>
      </c>
      <c r="B414" s="286"/>
      <c r="C414" s="276" t="s">
        <v>197</v>
      </c>
      <c r="D414" s="277"/>
      <c r="E414" s="277"/>
      <c r="F414" s="278"/>
      <c r="G414" s="291" t="s">
        <v>198</v>
      </c>
      <c r="H414" s="291"/>
      <c r="I414" s="269" t="s">
        <v>199</v>
      </c>
      <c r="J414" s="270"/>
      <c r="K414" s="269" t="s">
        <v>200</v>
      </c>
      <c r="L414" s="270"/>
      <c r="M414" s="269" t="s">
        <v>201</v>
      </c>
      <c r="N414" s="270"/>
      <c r="O414" s="299"/>
      <c r="P414" s="299"/>
      <c r="Q414" s="261" t="s">
        <v>202</v>
      </c>
      <c r="R414" s="261"/>
      <c r="S414" s="261"/>
      <c r="T414" s="261"/>
      <c r="U414" s="262"/>
      <c r="V414" s="262"/>
      <c r="W414" s="261">
        <f t="shared" si="60"/>
        <v>0</v>
      </c>
      <c r="X414" s="261"/>
      <c r="Y414" s="261">
        <f t="shared" si="61"/>
        <v>0</v>
      </c>
      <c r="Z414" s="261"/>
      <c r="AA414" s="261">
        <f t="shared" si="59"/>
        <v>0</v>
      </c>
      <c r="AB414" s="261"/>
      <c r="AC414" s="261"/>
    </row>
    <row r="415" spans="1:29" ht="21.95" customHeight="1">
      <c r="A415" s="287"/>
      <c r="B415" s="288"/>
      <c r="C415" s="36" t="s">
        <v>203</v>
      </c>
      <c r="D415" s="37" t="s">
        <v>204</v>
      </c>
      <c r="E415" s="38"/>
      <c r="F415" s="176">
        <v>5</v>
      </c>
      <c r="G415" s="302"/>
      <c r="H415" s="302"/>
      <c r="I415" s="303"/>
      <c r="J415" s="304"/>
      <c r="K415" s="267">
        <f>G415-I415</f>
        <v>0</v>
      </c>
      <c r="L415" s="267"/>
      <c r="M415" s="268" t="str">
        <f t="array" ref="M415">IF(ISERROR(K415/L408),"",K415/(L408/1000))</f>
        <v/>
      </c>
      <c r="N415" s="268"/>
      <c r="O415" s="299"/>
      <c r="P415" s="299"/>
      <c r="Q415" s="261" t="s">
        <v>205</v>
      </c>
      <c r="R415" s="261"/>
      <c r="S415" s="261"/>
      <c r="T415" s="261"/>
      <c r="U415" s="262"/>
      <c r="V415" s="262"/>
      <c r="W415" s="261">
        <f t="shared" si="60"/>
        <v>0</v>
      </c>
      <c r="X415" s="261"/>
      <c r="Y415" s="261">
        <f t="shared" si="61"/>
        <v>0</v>
      </c>
      <c r="Z415" s="261"/>
      <c r="AA415" s="261">
        <f t="shared" si="59"/>
        <v>0</v>
      </c>
      <c r="AB415" s="261"/>
      <c r="AC415" s="261"/>
    </row>
    <row r="416" spans="1:29" ht="21.95" customHeight="1">
      <c r="A416" s="287"/>
      <c r="B416" s="288"/>
      <c r="C416" s="36" t="s">
        <v>206</v>
      </c>
      <c r="D416" s="37" t="s">
        <v>207</v>
      </c>
      <c r="E416" s="38"/>
      <c r="F416" s="176">
        <v>105</v>
      </c>
      <c r="G416" s="300"/>
      <c r="H416" s="301"/>
      <c r="I416" s="300"/>
      <c r="J416" s="301"/>
      <c r="K416" s="267">
        <f>G416-I416</f>
        <v>0</v>
      </c>
      <c r="L416" s="267"/>
      <c r="M416" s="268" t="str">
        <f t="array" ref="M416">IF(ISERROR(K416/L408),"",K416/(L408/1000))</f>
        <v/>
      </c>
      <c r="N416" s="268"/>
      <c r="O416" s="299"/>
      <c r="P416" s="299"/>
      <c r="Q416" s="261" t="s">
        <v>208</v>
      </c>
      <c r="R416" s="261"/>
      <c r="S416" s="261"/>
      <c r="T416" s="261"/>
      <c r="U416" s="262"/>
      <c r="V416" s="262"/>
      <c r="W416" s="261">
        <f t="shared" si="60"/>
        <v>0</v>
      </c>
      <c r="X416" s="261"/>
      <c r="Y416" s="261">
        <f t="shared" si="61"/>
        <v>0</v>
      </c>
      <c r="Z416" s="261"/>
      <c r="AA416" s="261">
        <f t="shared" si="59"/>
        <v>0</v>
      </c>
      <c r="AB416" s="261"/>
      <c r="AC416" s="261"/>
    </row>
    <row r="417" spans="1:29" ht="21.95" customHeight="1">
      <c r="A417" s="287"/>
      <c r="B417" s="288"/>
      <c r="C417" s="36" t="s">
        <v>209</v>
      </c>
      <c r="D417" s="37" t="s">
        <v>210</v>
      </c>
      <c r="E417" s="38"/>
      <c r="F417" s="176">
        <v>0.55000000000000004</v>
      </c>
      <c r="G417" s="302"/>
      <c r="H417" s="302"/>
      <c r="I417" s="305"/>
      <c r="J417" s="306"/>
      <c r="K417" s="267">
        <f>G417-I417</f>
        <v>0</v>
      </c>
      <c r="L417" s="267"/>
      <c r="M417" s="271" t="str">
        <f t="array" ref="M417">IF(ISERROR(K417/L408),"",K417/(L408/1000))</f>
        <v/>
      </c>
      <c r="N417" s="271"/>
      <c r="O417" s="299"/>
      <c r="P417" s="299"/>
      <c r="Q417" s="261" t="s">
        <v>211</v>
      </c>
      <c r="R417" s="261"/>
      <c r="S417" s="261"/>
      <c r="T417" s="261"/>
      <c r="U417" s="262"/>
      <c r="V417" s="262"/>
      <c r="W417" s="261">
        <f t="shared" si="60"/>
        <v>0</v>
      </c>
      <c r="X417" s="261"/>
      <c r="Y417" s="261">
        <f t="shared" si="61"/>
        <v>0</v>
      </c>
      <c r="Z417" s="261"/>
      <c r="AA417" s="261">
        <f t="shared" si="59"/>
        <v>0</v>
      </c>
      <c r="AB417" s="261"/>
      <c r="AC417" s="261"/>
    </row>
    <row r="418" spans="1:29" ht="21.95" customHeight="1">
      <c r="A418" s="287"/>
      <c r="B418" s="288"/>
      <c r="C418" s="39" t="s">
        <v>212</v>
      </c>
      <c r="D418" s="276" t="s">
        <v>213</v>
      </c>
      <c r="E418" s="277"/>
      <c r="F418" s="277"/>
      <c r="G418" s="277"/>
      <c r="H418" s="277"/>
      <c r="I418" s="277"/>
      <c r="J418" s="278"/>
      <c r="K418" s="279"/>
      <c r="L418" s="279"/>
      <c r="M418" s="272" t="str">
        <f t="array" ref="M418">IF(ISERROR((K418+K419)/L408),"",((K418+K419)*1000)/(L408/1000))</f>
        <v/>
      </c>
      <c r="N418" s="273"/>
      <c r="O418" s="299"/>
      <c r="P418" s="299"/>
      <c r="Q418" s="261" t="s">
        <v>214</v>
      </c>
      <c r="R418" s="261"/>
      <c r="S418" s="307"/>
      <c r="T418" s="307"/>
      <c r="U418" s="262"/>
      <c r="V418" s="262"/>
      <c r="W418" s="261">
        <f t="shared" si="60"/>
        <v>0</v>
      </c>
      <c r="X418" s="261"/>
      <c r="Y418" s="261">
        <f t="shared" si="61"/>
        <v>0</v>
      </c>
      <c r="Z418" s="261"/>
      <c r="AA418" s="261">
        <f t="shared" si="59"/>
        <v>0</v>
      </c>
      <c r="AB418" s="261"/>
      <c r="AC418" s="261"/>
    </row>
    <row r="419" spans="1:29" ht="21.95" customHeight="1">
      <c r="A419" s="287"/>
      <c r="B419" s="288"/>
      <c r="C419" s="39" t="s">
        <v>212</v>
      </c>
      <c r="D419" s="276" t="s">
        <v>215</v>
      </c>
      <c r="E419" s="277"/>
      <c r="F419" s="277"/>
      <c r="G419" s="277"/>
      <c r="H419" s="277"/>
      <c r="I419" s="277"/>
      <c r="J419" s="278"/>
      <c r="K419" s="279"/>
      <c r="L419" s="279"/>
      <c r="M419" s="274"/>
      <c r="N419" s="275"/>
      <c r="O419" s="299"/>
      <c r="P419" s="299"/>
      <c r="Q419" s="261" t="s">
        <v>216</v>
      </c>
      <c r="R419" s="261"/>
      <c r="S419" s="262">
        <f>SUM(S412:T418)</f>
        <v>0</v>
      </c>
      <c r="T419" s="262"/>
      <c r="U419" s="262">
        <f>SUM(U412:V418)</f>
        <v>0</v>
      </c>
      <c r="V419" s="262"/>
      <c r="W419" s="261">
        <f t="shared" si="60"/>
        <v>0</v>
      </c>
      <c r="X419" s="261"/>
      <c r="Y419" s="261">
        <f t="shared" si="61"/>
        <v>0</v>
      </c>
      <c r="Z419" s="261"/>
      <c r="AA419" s="261">
        <f t="shared" si="59"/>
        <v>0</v>
      </c>
      <c r="AB419" s="261"/>
      <c r="AC419" s="261"/>
    </row>
    <row r="420" spans="1:29" ht="21.95" customHeight="1">
      <c r="A420" s="289"/>
      <c r="B420" s="290"/>
      <c r="C420" s="279" t="s">
        <v>217</v>
      </c>
      <c r="D420" s="279"/>
      <c r="E420" s="279"/>
      <c r="F420" s="279"/>
      <c r="G420" s="280" t="str">
        <f>IF(ISERROR(K417/K419),"",K417/K419)</f>
        <v/>
      </c>
      <c r="H420" s="281"/>
      <c r="I420" s="279" t="s">
        <v>218</v>
      </c>
      <c r="J420" s="279"/>
      <c r="K420" s="279"/>
      <c r="L420" s="279"/>
      <c r="M420" s="280" t="str">
        <f>IF(ISERROR(K417/K418),"",K417/K418)</f>
        <v/>
      </c>
      <c r="N420" s="281"/>
      <c r="O420" s="299"/>
      <c r="P420" s="299"/>
      <c r="Q420" s="258" t="s">
        <v>219</v>
      </c>
      <c r="R420" s="258"/>
      <c r="S420" s="308" t="str">
        <f t="array" ref="S420">IF(ISERROR(L408/Y419),"",L408/Y419)</f>
        <v/>
      </c>
      <c r="T420" s="309"/>
      <c r="U420" s="309"/>
      <c r="V420" s="309"/>
      <c r="W420" s="309"/>
      <c r="X420" s="309"/>
      <c r="Y420" s="309"/>
      <c r="Z420" s="309"/>
      <c r="AA420" s="309"/>
      <c r="AB420" s="309"/>
      <c r="AC420" s="310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57" t="s">
        <v>225</v>
      </c>
      <c r="B423" s="257"/>
      <c r="C423" s="315">
        <f>K199+K408</f>
        <v>0</v>
      </c>
      <c r="D423" s="315"/>
      <c r="E423" s="311" t="s">
        <v>226</v>
      </c>
      <c r="F423" s="311"/>
      <c r="G423" s="311">
        <f>L199+L408</f>
        <v>0</v>
      </c>
      <c r="H423" s="311"/>
      <c r="I423" s="318" t="s">
        <v>227</v>
      </c>
      <c r="J423" s="318"/>
      <c r="K423" s="317" t="str">
        <f>IF(ISERROR(G423/C423),"",G423/C423)</f>
        <v/>
      </c>
      <c r="L423" s="317"/>
      <c r="M423" s="311" t="s">
        <v>228</v>
      </c>
      <c r="N423" s="311"/>
      <c r="O423" s="312" t="str">
        <f>IF(ISERROR(G423/G424),"",G423/G424)</f>
        <v/>
      </c>
      <c r="P423" s="312"/>
      <c r="Q423" s="313"/>
      <c r="R423" s="313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14" t="s">
        <v>229</v>
      </c>
      <c r="B424" s="314"/>
      <c r="C424" s="315">
        <f>P199+P408</f>
        <v>0</v>
      </c>
      <c r="D424" s="315"/>
      <c r="E424" s="316" t="s">
        <v>18</v>
      </c>
      <c r="F424" s="316"/>
      <c r="G424" s="311">
        <f>R199+R408</f>
        <v>0</v>
      </c>
      <c r="H424" s="311"/>
      <c r="I424" s="291" t="s">
        <v>176</v>
      </c>
      <c r="J424" s="291"/>
      <c r="K424" s="317" t="str">
        <f>IF(ISERROR(C424/G424),"",C424/G424)</f>
        <v/>
      </c>
      <c r="L424" s="317"/>
      <c r="M424" s="257" t="s">
        <v>230</v>
      </c>
      <c r="N424" s="257"/>
      <c r="O424" s="311">
        <f>W200+W409</f>
        <v>0</v>
      </c>
      <c r="P424" s="257"/>
      <c r="Q424" s="257" t="s">
        <v>231</v>
      </c>
      <c r="R424" s="257"/>
      <c r="S424" s="317" t="str">
        <f t="array" ref="S424">IF(ISERROR(O424/G424),"",O424/G424)</f>
        <v/>
      </c>
      <c r="T424" s="317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15">
        <f>K206+K415</f>
        <v>0</v>
      </c>
      <c r="D426" s="315"/>
      <c r="E426" s="311" t="s">
        <v>234</v>
      </c>
      <c r="F426" s="311"/>
      <c r="G426" s="271" t="str">
        <f t="array" ref="G426">IF(ISERROR(C426/G423),"",C426/(G423/1000))</f>
        <v/>
      </c>
      <c r="H426" s="271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15">
        <f>K207+K416</f>
        <v>0</v>
      </c>
      <c r="D427" s="315"/>
      <c r="E427" s="311" t="s">
        <v>236</v>
      </c>
      <c r="F427" s="311"/>
      <c r="G427" s="271" t="str">
        <f>IF(ISERROR(C427/G423),"",C427/(G423/1000))</f>
        <v/>
      </c>
      <c r="H427" s="271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15">
        <f>K208+K417</f>
        <v>0</v>
      </c>
      <c r="D428" s="315"/>
      <c r="E428" s="311" t="s">
        <v>238</v>
      </c>
      <c r="F428" s="311"/>
      <c r="G428" s="271" t="str">
        <f>IF(ISERROR(C428/G423),"",C428/(G423/1000))</f>
        <v/>
      </c>
      <c r="H428" s="271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15">
        <f>K209+K418</f>
        <v>0</v>
      </c>
      <c r="D429" s="315"/>
      <c r="E429" s="311" t="s">
        <v>240</v>
      </c>
      <c r="F429" s="311"/>
      <c r="G429" s="319" t="str">
        <f>IF(ISERROR(C429/G423),"",C429/(G423/1000))</f>
        <v/>
      </c>
      <c r="H429" s="319"/>
      <c r="I429" s="311" t="s">
        <v>241</v>
      </c>
      <c r="J429" s="311"/>
      <c r="K429" s="320" t="str">
        <f>IF(ISERROR(C428/C429),"",C428/C429)</f>
        <v/>
      </c>
      <c r="L429" s="320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15">
        <f>K210+K419</f>
        <v>0</v>
      </c>
      <c r="D430" s="315"/>
      <c r="E430" s="311" t="s">
        <v>243</v>
      </c>
      <c r="F430" s="311"/>
      <c r="G430" s="319" t="str">
        <f>IF(ISERROR(C430/G423),"",C430/(G423/1000))</f>
        <v/>
      </c>
      <c r="H430" s="319"/>
      <c r="I430" s="311" t="s">
        <v>244</v>
      </c>
      <c r="J430" s="311"/>
      <c r="K430" s="320" t="str">
        <f>IF(ISERROR(C428/C430),"",C428/C430)</f>
        <v/>
      </c>
      <c r="L430" s="320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23">
        <f>+E411+E202</f>
        <v>0</v>
      </c>
      <c r="D432" s="324"/>
      <c r="E432" s="311" t="s">
        <v>247</v>
      </c>
      <c r="F432" s="329"/>
      <c r="G432" s="325">
        <f>+G411+G202</f>
        <v>0</v>
      </c>
      <c r="H432" s="326"/>
      <c r="I432" s="311" t="s">
        <v>248</v>
      </c>
      <c r="J432" s="329"/>
      <c r="K432" s="293">
        <f>G432-C432</f>
        <v>0</v>
      </c>
      <c r="L432" s="295"/>
      <c r="M432" s="330" t="s">
        <v>249</v>
      </c>
      <c r="N432" s="330"/>
      <c r="O432" s="321" t="str">
        <f t="array" ref="O432">IF(ISERROR(K432/C432),"",K432/C432)</f>
        <v/>
      </c>
      <c r="P432" s="322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23">
        <f>+E412+E203</f>
        <v>0</v>
      </c>
      <c r="D433" s="324"/>
      <c r="E433" s="311" t="s">
        <v>251</v>
      </c>
      <c r="F433" s="311"/>
      <c r="G433" s="325">
        <f>+G412+G203</f>
        <v>0</v>
      </c>
      <c r="H433" s="326"/>
      <c r="I433" s="311" t="s">
        <v>252</v>
      </c>
      <c r="J433" s="311"/>
      <c r="K433" s="293">
        <f>G433-C433</f>
        <v>0</v>
      </c>
      <c r="L433" s="295"/>
      <c r="M433" s="327" t="s">
        <v>253</v>
      </c>
      <c r="N433" s="328"/>
      <c r="O433" s="321" t="str">
        <f t="array" ref="O433">IF(ISERROR(K433/C433),"",K433/C433)</f>
        <v/>
      </c>
      <c r="P433" s="322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23">
        <f>+E413+E204</f>
        <v>0</v>
      </c>
      <c r="D434" s="324"/>
      <c r="E434" s="311" t="s">
        <v>255</v>
      </c>
      <c r="F434" s="329"/>
      <c r="G434" s="325">
        <f>+G413+G204</f>
        <v>0</v>
      </c>
      <c r="H434" s="326"/>
      <c r="I434" s="311" t="s">
        <v>256</v>
      </c>
      <c r="J434" s="329"/>
      <c r="K434" s="293">
        <f>G434-C434</f>
        <v>0</v>
      </c>
      <c r="L434" s="295"/>
      <c r="M434" s="327" t="s">
        <v>257</v>
      </c>
      <c r="N434" s="328"/>
      <c r="O434" s="321" t="str">
        <f t="array" ref="O434">IF(ISERROR(K434/C434),"",K434/C434)</f>
        <v/>
      </c>
      <c r="P434" s="322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26" t="s">
        <v>259</v>
      </c>
      <c r="B436" s="226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61" t="s">
        <v>278</v>
      </c>
      <c r="B437" s="261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61" t="s">
        <v>279</v>
      </c>
      <c r="B438" s="261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61" t="s">
        <v>280</v>
      </c>
      <c r="B439" s="261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61" t="s">
        <v>281</v>
      </c>
      <c r="B440" s="261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61" t="s">
        <v>282</v>
      </c>
      <c r="B441" s="261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61" t="s">
        <v>283</v>
      </c>
      <c r="B442" s="261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34" t="s">
        <v>284</v>
      </c>
      <c r="B443" s="335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61" t="s">
        <v>285</v>
      </c>
      <c r="B444" s="261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61" t="s">
        <v>286</v>
      </c>
      <c r="B445" s="261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61" t="s">
        <v>287</v>
      </c>
      <c r="B446" s="261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61" t="s">
        <v>288</v>
      </c>
      <c r="B447" s="261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61" t="s">
        <v>289</v>
      </c>
      <c r="B448" s="261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61" t="s">
        <v>290</v>
      </c>
      <c r="B449" s="261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31" t="s">
        <v>284</v>
      </c>
      <c r="B450" s="332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61" t="s">
        <v>291</v>
      </c>
      <c r="B451" s="261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33" t="s">
        <v>292</v>
      </c>
      <c r="B452" s="333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2016-10-17T03:25:41Z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